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JohnH Docs\CDLAC FINAL\Windsor Residences CDLAC\Tab 00 - E-Application\"/>
    </mc:Choice>
  </mc:AlternateContent>
  <xr:revisionPtr revIDLastSave="0" documentId="13_ncr:1_{8021D7DA-E4C9-4349-AF90-22B0A6C83AF0}" xr6:coauthVersionLast="46" xr6:coauthVersionMax="46" xr10:uidLastSave="{00000000-0000-0000-0000-000000000000}"/>
  <bookViews>
    <workbookView xWindow="-2892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Application!$J$941:$S$941</definedName>
    <definedName name="bedrooms" localSheetId="4">[1]Application!$BC$648:$BI$648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4">#REF!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4">#REF!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4">#REF!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4">#REF!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4">'[5]Basis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3">Application!$A$1:$AS$1085</definedName>
    <definedName name="_xlnm.Print_Area" localSheetId="4">'Application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4">[5]Feasibility!$X$4:$AL$75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4">[5]Feasibility!$X$78:$AM$145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4">[5]Feasibility!$A$152:$L$224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4">[5]Feasibility!$A$225:$L$310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4">'[5]100%RENTS'!$A$5:$H$62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Application!$855:$964</definedName>
    <definedName name="Z_ACB87C9A_02C3_4C83_BBE4_E2C44A4D81CD_.wvu.PrintArea" localSheetId="12" hidden="1">'15 Year Pro Forma'!$A$1:$AH$76</definedName>
    <definedName name="Z_ACB87C9A_02C3_4C83_BBE4_E2C44A4D81CD_.wvu.PrintArea" localSheetId="3" hidden="1">Application!$A$1:$AL$1085</definedName>
    <definedName name="Z_ACB87C9A_02C3_4C83_BBE4_E2C44A4D81CD_.wvu.PrintArea" localSheetId="4"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autoNoTable"/>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1" i="3" l="1"/>
  <c r="W847" i="3"/>
  <c r="AG447" i="3" l="1"/>
  <c r="AG445" i="3" l="1"/>
  <c r="AG442" i="3"/>
  <c r="AG441" i="3"/>
  <c r="C45" i="4"/>
  <c r="E45" i="4"/>
  <c r="AB71" i="15"/>
  <c r="AB50" i="15"/>
  <c r="C94" i="4"/>
  <c r="E94" i="4"/>
  <c r="AG52" i="7"/>
  <c r="AE52" i="7"/>
  <c r="AC52" i="7"/>
  <c r="AA52" i="7"/>
  <c r="W52" i="7"/>
  <c r="U52" i="7"/>
  <c r="S52" i="7"/>
  <c r="Q52" i="7"/>
  <c r="AG28" i="7"/>
  <c r="AE28" i="7"/>
  <c r="AC28" i="7"/>
  <c r="AA28" i="7"/>
  <c r="Y28" i="7"/>
  <c r="W28" i="7"/>
  <c r="U28" i="7"/>
  <c r="S28" i="7"/>
  <c r="Q28" i="7"/>
  <c r="O28" i="7"/>
  <c r="M28" i="7"/>
  <c r="K28" i="7"/>
  <c r="I28" i="7"/>
  <c r="G28" i="7"/>
  <c r="AD182" i="20"/>
  <c r="F10" i="13"/>
  <c r="F14" i="13"/>
  <c r="F13" i="13"/>
  <c r="F25" i="13"/>
  <c r="F24" i="13"/>
  <c r="F23" i="13"/>
  <c r="F22" i="13"/>
  <c r="F21" i="13"/>
  <c r="F20" i="13"/>
  <c r="F19" i="13"/>
  <c r="F18" i="13"/>
  <c r="F17" i="13"/>
  <c r="F27" i="13"/>
  <c r="F37" i="13"/>
  <c r="F36" i="13"/>
  <c r="F35" i="13"/>
  <c r="F34" i="13"/>
  <c r="F33" i="13"/>
  <c r="F32" i="13"/>
  <c r="F31" i="13"/>
  <c r="F30" i="13"/>
  <c r="F29" i="13"/>
  <c r="F41" i="13"/>
  <c r="F40" i="13"/>
  <c r="F43" i="13"/>
  <c r="F53" i="13"/>
  <c r="F52" i="13"/>
  <c r="F51" i="13"/>
  <c r="F50" i="13"/>
  <c r="F49" i="13"/>
  <c r="F48" i="13"/>
  <c r="F47" i="13"/>
  <c r="F46" i="13"/>
  <c r="F45" i="13"/>
  <c r="F69" i="13"/>
  <c r="F68" i="13"/>
  <c r="F67" i="13"/>
  <c r="F66" i="13"/>
  <c r="F65" i="13"/>
  <c r="F80" i="13"/>
  <c r="F79" i="13"/>
  <c r="F87" i="13"/>
  <c r="F86" i="13"/>
  <c r="F85" i="13"/>
  <c r="F84" i="13"/>
  <c r="F95" i="13"/>
  <c r="F94" i="13"/>
  <c r="F93" i="13"/>
  <c r="F92" i="13"/>
  <c r="F91" i="13"/>
  <c r="F90" i="13"/>
  <c r="F89" i="13"/>
  <c r="F103" i="13"/>
  <c r="F102" i="13"/>
  <c r="F101" i="13"/>
  <c r="F100" i="13"/>
  <c r="F99" i="13"/>
  <c r="C7" i="13"/>
  <c r="C6" i="13"/>
  <c r="C5" i="13"/>
  <c r="C9" i="13"/>
  <c r="F61" i="4"/>
  <c r="C61" i="4"/>
  <c r="S103" i="4"/>
  <c r="S102" i="4"/>
  <c r="S101" i="4"/>
  <c r="S100" i="4"/>
  <c r="S99" i="4"/>
  <c r="S95" i="4"/>
  <c r="S93" i="4"/>
  <c r="S92" i="4"/>
  <c r="S91" i="4"/>
  <c r="S90" i="4"/>
  <c r="S89" i="4"/>
  <c r="S87" i="4"/>
  <c r="S86" i="4"/>
  <c r="S85" i="4"/>
  <c r="S84" i="4"/>
  <c r="S80" i="4"/>
  <c r="S79" i="4"/>
  <c r="S69" i="4"/>
  <c r="S68" i="4"/>
  <c r="S67" i="4"/>
  <c r="S66" i="4"/>
  <c r="S52" i="4"/>
  <c r="S51" i="4"/>
  <c r="S49" i="4"/>
  <c r="S48" i="4"/>
  <c r="S47" i="4"/>
  <c r="S43" i="4"/>
  <c r="S41" i="4"/>
  <c r="S40" i="4"/>
  <c r="S37" i="4"/>
  <c r="S36" i="4"/>
  <c r="S35" i="4"/>
  <c r="S34" i="4"/>
  <c r="S33" i="4"/>
  <c r="S32" i="4"/>
  <c r="S31" i="4"/>
  <c r="S14" i="4"/>
  <c r="S25" i="4"/>
  <c r="S24" i="4"/>
  <c r="S23" i="4"/>
  <c r="S22" i="4"/>
  <c r="S21" i="4"/>
  <c r="S20" i="4"/>
  <c r="S19" i="4"/>
  <c r="S18" i="4"/>
  <c r="S17" i="4"/>
  <c r="S29" i="4"/>
  <c r="F30" i="4"/>
  <c r="E30" i="4"/>
  <c r="G99" i="4"/>
  <c r="E99" i="4"/>
  <c r="E7" i="4"/>
  <c r="E6" i="4"/>
  <c r="E5" i="4"/>
  <c r="E10" i="4"/>
  <c r="E9" i="4"/>
  <c r="E15" i="4"/>
  <c r="E14" i="4"/>
  <c r="E13" i="4"/>
  <c r="E25" i="4"/>
  <c r="E24" i="4"/>
  <c r="E23" i="4"/>
  <c r="E22" i="4"/>
  <c r="E21" i="4"/>
  <c r="E20" i="4"/>
  <c r="E19" i="4"/>
  <c r="E18" i="4"/>
  <c r="E17" i="4"/>
  <c r="E27" i="4"/>
  <c r="E37" i="4"/>
  <c r="E36" i="4"/>
  <c r="E35" i="4"/>
  <c r="E34" i="4"/>
  <c r="E33" i="4"/>
  <c r="E32" i="4"/>
  <c r="E31" i="4"/>
  <c r="E29" i="4"/>
  <c r="E41" i="4"/>
  <c r="E40" i="4"/>
  <c r="E43" i="4"/>
  <c r="E53" i="4"/>
  <c r="E52" i="4"/>
  <c r="E51" i="4"/>
  <c r="E50" i="4"/>
  <c r="E49" i="4"/>
  <c r="E48" i="4"/>
  <c r="E47" i="4"/>
  <c r="E46" i="4"/>
  <c r="E69" i="4"/>
  <c r="E68" i="4"/>
  <c r="E67" i="4"/>
  <c r="E66" i="4"/>
  <c r="E65" i="4"/>
  <c r="E76" i="4"/>
  <c r="E75" i="4"/>
  <c r="E74" i="4"/>
  <c r="E73" i="4"/>
  <c r="E72" i="4"/>
  <c r="E80" i="4"/>
  <c r="E79" i="4"/>
  <c r="E93" i="4"/>
  <c r="E92" i="4"/>
  <c r="E91" i="4"/>
  <c r="E90" i="4"/>
  <c r="E89" i="4"/>
  <c r="E88" i="4"/>
  <c r="E87" i="4"/>
  <c r="E86" i="4"/>
  <c r="E85" i="4"/>
  <c r="E84" i="4"/>
  <c r="E83" i="4"/>
  <c r="E95" i="4"/>
  <c r="F58" i="4"/>
  <c r="C93" i="4"/>
  <c r="C33" i="4"/>
  <c r="AJ1004" i="3"/>
  <c r="AA932" i="3"/>
  <c r="AA916" i="3"/>
  <c r="AA915" i="3"/>
  <c r="AO637" i="3"/>
  <c r="AO638" i="3"/>
  <c r="AO650" i="3"/>
  <c r="AM566" i="3"/>
  <c r="C91" i="4"/>
  <c r="G53" i="7"/>
  <c r="I53" i="7"/>
  <c r="K53" i="7"/>
  <c r="M53" i="7"/>
  <c r="O53" i="7"/>
  <c r="Q53" i="7"/>
  <c r="S53" i="7"/>
  <c r="U53" i="7"/>
  <c r="W53" i="7"/>
  <c r="Y53" i="7"/>
  <c r="AA53" i="7"/>
  <c r="AC53" i="7"/>
  <c r="AE53" i="7"/>
  <c r="AG53" i="7"/>
  <c r="G52" i="7"/>
  <c r="I52" i="7"/>
  <c r="K52" i="7"/>
  <c r="M52" i="7"/>
  <c r="O52" i="7"/>
  <c r="Y52" i="7"/>
  <c r="AF417" i="3"/>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D1036"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c r="AJ149" i="20"/>
  <c r="AO59" i="20"/>
  <c r="AO58" i="20"/>
  <c r="AO57" i="20"/>
  <c r="AO29" i="20"/>
  <c r="AO28" i="20"/>
  <c r="AO27" i="20"/>
  <c r="AO26" i="20"/>
  <c r="AO25" i="20"/>
  <c r="AO24" i="20"/>
  <c r="AO23" i="20"/>
  <c r="AO20" i="20"/>
  <c r="AO21" i="20"/>
  <c r="AO15" i="20"/>
  <c r="AO14" i="20"/>
  <c r="AO13" i="20"/>
  <c r="AO12" i="20"/>
  <c r="AO60" i="20"/>
  <c r="AO263" i="20"/>
  <c r="AK267" i="20"/>
  <c r="T794" i="20"/>
  <c r="AF794" i="20"/>
  <c r="AP279" i="20"/>
  <c r="AK320" i="20"/>
  <c r="T796" i="20"/>
  <c r="AO30" i="20"/>
  <c r="AP590" i="20"/>
  <c r="AQ590" i="20"/>
  <c r="AK166" i="20"/>
  <c r="AK750" i="20"/>
  <c r="T793" i="20"/>
  <c r="AF793" i="20"/>
  <c r="AO16" i="20"/>
  <c r="AP581" i="20"/>
  <c r="AQ581" i="20"/>
  <c r="T789" i="20"/>
  <c r="T788" i="20"/>
  <c r="AF788" i="20"/>
  <c r="AK551" i="20"/>
  <c r="T797" i="20"/>
  <c r="AS573" i="20"/>
  <c r="AO32" i="20"/>
  <c r="AK51" i="20"/>
  <c r="AK72" i="20"/>
  <c r="AK553" i="20"/>
  <c r="T795" i="20"/>
  <c r="AF795" i="20"/>
  <c r="AS575" i="20"/>
  <c r="AK684" i="20"/>
  <c r="T798" i="20"/>
  <c r="AF798" i="20"/>
  <c r="T784" i="20"/>
  <c r="AF784" i="20"/>
  <c r="T785" i="20"/>
  <c r="AF785" i="20"/>
  <c r="AK174" i="20"/>
  <c r="T791" i="20"/>
  <c r="AF791" i="20"/>
  <c r="W860" i="3"/>
  <c r="A3" i="15"/>
  <c r="BA1000" i="3"/>
  <c r="AD64" i="15"/>
  <c r="T11" i="4"/>
  <c r="R10" i="4"/>
  <c r="R91" i="4"/>
  <c r="R84" i="4"/>
  <c r="T25" i="15"/>
  <c r="AI7" i="15"/>
  <c r="AG440" i="3"/>
  <c r="AG443" i="3"/>
  <c r="AG444" i="3" s="1"/>
  <c r="AI27" i="15" s="1"/>
  <c r="AI28" i="15" s="1"/>
  <c r="B59" i="4"/>
  <c r="C80" i="11"/>
  <c r="C81" i="11"/>
  <c r="B80" i="11"/>
  <c r="B81" i="11"/>
  <c r="I96" i="13"/>
  <c r="J96" i="13"/>
  <c r="J81" i="13"/>
  <c r="I81" i="13"/>
  <c r="G81" i="13"/>
  <c r="F81" i="13"/>
  <c r="D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G96" i="13"/>
  <c r="F96" i="13"/>
  <c r="D96" i="13"/>
  <c r="D77" i="13"/>
  <c r="J70" i="13"/>
  <c r="I70" i="13"/>
  <c r="G70" i="13"/>
  <c r="F70" i="13"/>
  <c r="D70" i="13"/>
  <c r="D62" i="13"/>
  <c r="J54" i="13"/>
  <c r="I54" i="13"/>
  <c r="G54" i="13"/>
  <c r="F54" i="13"/>
  <c r="D54" i="13"/>
  <c r="J42" i="13"/>
  <c r="I42" i="13"/>
  <c r="G42" i="13"/>
  <c r="F42" i="13"/>
  <c r="F26" i="13"/>
  <c r="F38" i="13"/>
  <c r="D42" i="13"/>
  <c r="J38" i="13"/>
  <c r="G38" i="13"/>
  <c r="D38" i="13"/>
  <c r="J26" i="13"/>
  <c r="I26" i="13"/>
  <c r="I11" i="13"/>
  <c r="G26" i="13"/>
  <c r="D26" i="13"/>
  <c r="J11" i="13"/>
  <c r="D11" i="13"/>
  <c r="C8" i="13"/>
  <c r="D8" i="13"/>
  <c r="T104" i="4"/>
  <c r="H104" i="13"/>
  <c r="R103" i="4"/>
  <c r="R102" i="4"/>
  <c r="R101" i="4"/>
  <c r="R99" i="4"/>
  <c r="S104" i="4"/>
  <c r="E104" i="13"/>
  <c r="R95"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30" i="4"/>
  <c r="S30" i="4"/>
  <c r="E30" i="13"/>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B55" i="11"/>
  <c r="B64" i="11"/>
  <c r="B77" i="11"/>
  <c r="B78" i="11"/>
  <c r="B98" i="11"/>
  <c r="B106" i="11"/>
  <c r="C46" i="11"/>
  <c r="C55"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s="1"/>
  <c r="I15" i="7" s="1"/>
  <c r="K15" i="7" s="1"/>
  <c r="M15" i="7" s="1"/>
  <c r="O15" i="7" s="1"/>
  <c r="Q15" i="7" s="1"/>
  <c r="S15" i="7" s="1"/>
  <c r="U15" i="7" s="1"/>
  <c r="W15" i="7" s="1"/>
  <c r="Y15" i="7" s="1"/>
  <c r="AA15" i="7" s="1"/>
  <c r="AC15" i="7" s="1"/>
  <c r="AE15" i="7" s="1"/>
  <c r="AG15" i="7" s="1"/>
  <c r="W853" i="3"/>
  <c r="E16" i="7"/>
  <c r="G16" i="7"/>
  <c r="E17" i="7"/>
  <c r="G17" i="7"/>
  <c r="I17" i="7"/>
  <c r="K17" i="7"/>
  <c r="M17" i="7"/>
  <c r="O17" i="7"/>
  <c r="Q17" i="7"/>
  <c r="S17" i="7"/>
  <c r="U17" i="7"/>
  <c r="W17" i="7"/>
  <c r="Y17" i="7"/>
  <c r="AA17" i="7"/>
  <c r="AC17" i="7"/>
  <c r="AE17" i="7"/>
  <c r="AG17" i="7"/>
  <c r="E18" i="7"/>
  <c r="G18" i="7" s="1"/>
  <c r="I18" i="7" s="1"/>
  <c r="K18" i="7" s="1"/>
  <c r="M18" i="7" s="1"/>
  <c r="O18" i="7" s="1"/>
  <c r="Q18" i="7" s="1"/>
  <c r="S18" i="7" s="1"/>
  <c r="U18" i="7" s="1"/>
  <c r="W18" i="7" s="1"/>
  <c r="Y18" i="7" s="1"/>
  <c r="AA18" i="7" s="1"/>
  <c r="AC18" i="7" s="1"/>
  <c r="AE18" i="7" s="1"/>
  <c r="AG18" i="7" s="1"/>
  <c r="W870" i="3"/>
  <c r="E19" i="7" s="1"/>
  <c r="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B26" i="4"/>
  <c r="D38" i="4"/>
  <c r="D42" i="4"/>
  <c r="D54" i="4"/>
  <c r="D62" i="4"/>
  <c r="D77" i="4"/>
  <c r="D96" i="4"/>
  <c r="D104" i="4"/>
  <c r="B104" i="4"/>
  <c r="AO649" i="3"/>
  <c r="AO651" i="3"/>
  <c r="AM569" i="3"/>
  <c r="S26" i="4"/>
  <c r="E26" i="13"/>
  <c r="S38" i="4"/>
  <c r="E38" i="13"/>
  <c r="S42" i="4"/>
  <c r="E42" i="13"/>
  <c r="S54" i="4"/>
  <c r="E5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E99" i="13"/>
  <c r="B77" i="4"/>
  <c r="B54" i="4"/>
  <c r="D51" i="11"/>
  <c r="R81" i="4"/>
  <c r="E93" i="20"/>
  <c r="E92"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M732" i="3"/>
  <c r="BI707" i="3"/>
  <c r="D93" i="11"/>
  <c r="D5" i="11"/>
  <c r="D70" i="11"/>
  <c r="D80" i="11"/>
  <c r="D52" i="11"/>
  <c r="I12" i="4"/>
  <c r="G12" i="4"/>
  <c r="D6" i="11"/>
  <c r="L63" i="4"/>
  <c r="L97" i="4"/>
  <c r="L105" i="4"/>
  <c r="Q12" i="4"/>
  <c r="B11" i="4"/>
  <c r="O63" i="4"/>
  <c r="O97" i="4"/>
  <c r="O105" i="4"/>
  <c r="D18" i="11"/>
  <c r="R70" i="4"/>
  <c r="B8" i="4"/>
  <c r="N154" i="23"/>
  <c r="N160" i="23"/>
  <c r="D10" i="11"/>
  <c r="D36" i="11"/>
  <c r="G63" i="13"/>
  <c r="G97" i="13"/>
  <c r="G105" i="13"/>
  <c r="G107" i="13"/>
  <c r="D61" i="11"/>
  <c r="D57" i="11"/>
  <c r="D20" i="11"/>
  <c r="D8" i="11"/>
  <c r="D85" i="11"/>
  <c r="B43" i="11"/>
  <c r="D102" i="11"/>
  <c r="D94" i="11"/>
  <c r="K12" i="4"/>
  <c r="C43" i="11"/>
  <c r="D63" i="4"/>
  <c r="D97" i="4"/>
  <c r="D105" i="4"/>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R62" i="4"/>
  <c r="D66" i="11"/>
  <c r="R38" i="4"/>
  <c r="D92" i="11"/>
  <c r="D75" i="11"/>
  <c r="B71" i="11"/>
  <c r="B39" i="11"/>
  <c r="D28" i="11"/>
  <c r="D103" i="11"/>
  <c r="D88" i="11"/>
  <c r="C78" i="11"/>
  <c r="D42" i="11"/>
  <c r="D21" i="11"/>
  <c r="D16" i="11"/>
  <c r="B12" i="11"/>
  <c r="R26" i="4"/>
  <c r="D81" i="11"/>
  <c r="D86" i="11"/>
  <c r="F63" i="13"/>
  <c r="F97" i="13"/>
  <c r="F105" i="13"/>
  <c r="F107" i="13"/>
  <c r="AM733" i="3"/>
  <c r="BI708" i="3"/>
  <c r="AM731" i="3"/>
  <c r="BI706" i="3"/>
  <c r="AM730" i="3"/>
  <c r="BI705" i="3"/>
  <c r="AM728" i="3"/>
  <c r="BI703" i="3"/>
  <c r="AB48" i="15"/>
  <c r="AD193" i="20"/>
  <c r="AD194" i="20"/>
  <c r="B42" i="4"/>
  <c r="D77" i="11"/>
  <c r="D47" i="11"/>
  <c r="C71" i="11"/>
  <c r="N150" i="23"/>
  <c r="M63" i="4"/>
  <c r="M97" i="4"/>
  <c r="M105" i="4"/>
  <c r="S63" i="4"/>
  <c r="E63" i="13"/>
  <c r="M42" i="7"/>
  <c r="R104" i="4"/>
  <c r="G63" i="4"/>
  <c r="G97" i="4"/>
  <c r="G105" i="4"/>
  <c r="D91" i="11"/>
  <c r="J63" i="4"/>
  <c r="J97" i="4"/>
  <c r="J105" i="4"/>
  <c r="D41" i="11"/>
  <c r="C12" i="11"/>
  <c r="K63" i="4"/>
  <c r="K97" i="4"/>
  <c r="K105" i="4"/>
  <c r="B62" i="4"/>
  <c r="B105" i="11"/>
  <c r="U39" i="7"/>
  <c r="U42" i="7"/>
  <c r="S39" i="7"/>
  <c r="S42" i="7"/>
  <c r="E42" i="7"/>
  <c r="I39" i="7"/>
  <c r="I42" i="7"/>
  <c r="K39" i="7"/>
  <c r="K42" i="7"/>
  <c r="W39" i="7"/>
  <c r="W42" i="7"/>
  <c r="Y39" i="7"/>
  <c r="Y42" i="7"/>
  <c r="AD7" i="15"/>
  <c r="C63" i="4"/>
  <c r="C97"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T7" i="15"/>
  <c r="K27" i="7"/>
  <c r="O27" i="7"/>
  <c r="I27" i="7"/>
  <c r="W27" i="7"/>
  <c r="S27" i="7"/>
  <c r="Y27" i="7"/>
  <c r="AC27" i="7"/>
  <c r="AG27" i="7"/>
  <c r="M27" i="7"/>
  <c r="G27" i="7"/>
  <c r="AA27" i="7"/>
  <c r="Q27" i="7"/>
  <c r="U27" i="7"/>
  <c r="CC635" i="3"/>
  <c r="CM635" i="3"/>
  <c r="BX658" i="3"/>
  <c r="CB659" i="3"/>
  <c r="BX635" i="3"/>
  <c r="I30" i="8"/>
  <c r="Z807" i="3"/>
  <c r="E6" i="7"/>
  <c r="AC882" i="3"/>
  <c r="AC776" i="3"/>
  <c r="AC881" i="3"/>
  <c r="AC883" i="3" s="1"/>
  <c r="BA987" i="3"/>
  <c r="I1027" i="3"/>
  <c r="DR635" i="3"/>
  <c r="CX63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K14" i="7"/>
  <c r="G9" i="7"/>
  <c r="I8" i="7"/>
  <c r="I16" i="7"/>
  <c r="K16" i="7"/>
  <c r="M16" i="7"/>
  <c r="O16" i="7"/>
  <c r="Q16" i="7"/>
  <c r="S16" i="7"/>
  <c r="U16" i="7"/>
  <c r="W16" i="7"/>
  <c r="Y16" i="7"/>
  <c r="AA16" i="7"/>
  <c r="AC16" i="7"/>
  <c r="AE16" i="7"/>
  <c r="AG16" i="7"/>
  <c r="D104" i="11"/>
  <c r="E12" i="4"/>
  <c r="B96" i="4"/>
  <c r="T63" i="4"/>
  <c r="T97" i="4"/>
  <c r="D11" i="11"/>
  <c r="C12" i="4"/>
  <c r="B12" i="13"/>
  <c r="C105" i="1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BI728" i="3"/>
  <c r="AM753" i="3"/>
  <c r="D71" i="11"/>
  <c r="D82" i="11"/>
  <c r="B12" i="4"/>
  <c r="D9" i="11"/>
  <c r="D105" i="11"/>
  <c r="B13" i="11"/>
  <c r="D63" i="11"/>
  <c r="D39" i="11"/>
  <c r="D12" i="11"/>
  <c r="C13" i="11"/>
  <c r="B63" i="4"/>
  <c r="D26" i="11"/>
  <c r="D27" i="11"/>
  <c r="CM636" i="3"/>
  <c r="BX663" i="3"/>
  <c r="AB971" i="3"/>
  <c r="Y798" i="3"/>
  <c r="BN663" i="3"/>
  <c r="AB969" i="3"/>
  <c r="CC663" i="3"/>
  <c r="AB972" i="3"/>
  <c r="BS663" i="3"/>
  <c r="AB970" i="3"/>
  <c r="BH694" i="3"/>
  <c r="BI694" i="3"/>
  <c r="CM663" i="3"/>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E7" i="7"/>
  <c r="G6" i="7"/>
  <c r="K8" i="7"/>
  <c r="I9" i="7"/>
  <c r="M14" i="7"/>
  <c r="H63" i="13"/>
  <c r="T105" i="4"/>
  <c r="H97" i="13"/>
  <c r="CS637" i="3"/>
  <c r="CS663" i="3"/>
  <c r="J8" i="22"/>
  <c r="J10" i="22"/>
  <c r="U588" i="20"/>
  <c r="D96" i="11"/>
  <c r="C97" i="11"/>
  <c r="D97"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P420" i="3"/>
  <c r="D13" i="11"/>
  <c r="BH696" i="3"/>
  <c r="AJ970" i="3"/>
  <c r="I12" i="21"/>
  <c r="AJ972" i="3"/>
  <c r="AJ969" i="3"/>
  <c r="AJ971" i="3"/>
  <c r="I13" i="21"/>
  <c r="Z816" i="3"/>
  <c r="AB973" i="3"/>
  <c r="E10" i="7"/>
  <c r="G4" i="7"/>
  <c r="G5" i="7"/>
  <c r="BI671" i="3"/>
  <c r="BI696" i="3"/>
  <c r="AH753" i="3"/>
  <c r="O14" i="7"/>
  <c r="M8" i="7"/>
  <c r="K9" i="7"/>
  <c r="G7" i="7"/>
  <c r="I6" i="7"/>
  <c r="T107" i="4"/>
  <c r="H105" i="13"/>
  <c r="E126" i="20"/>
  <c r="E127" i="20" s="1"/>
  <c r="AK131" i="20" s="1"/>
  <c r="T787" i="20" s="1"/>
  <c r="AF787" i="20" s="1"/>
  <c r="H107" i="13"/>
  <c r="E91" i="20"/>
  <c r="E81" i="20"/>
  <c r="E82" i="20"/>
  <c r="E83" i="20"/>
  <c r="AP83" i="20"/>
  <c r="I11" i="21"/>
  <c r="AJ973" i="3"/>
  <c r="AJ975" i="3"/>
  <c r="E16" i="21"/>
  <c r="AB974" i="3"/>
  <c r="G10" i="7"/>
  <c r="I4" i="7"/>
  <c r="I5" i="7"/>
  <c r="I7" i="7"/>
  <c r="K6" i="7"/>
  <c r="M9" i="7"/>
  <c r="O8" i="7"/>
  <c r="Q14" i="7"/>
  <c r="AD11" i="15"/>
  <c r="AD23" i="15"/>
  <c r="AD26" i="15"/>
  <c r="AI11" i="15"/>
  <c r="AI23" i="15"/>
  <c r="AI26" i="15"/>
  <c r="AJ1024" i="3"/>
  <c r="AP767" i="20"/>
  <c r="AJ1028" i="3"/>
  <c r="AP768" i="20"/>
  <c r="AJ1015" i="3"/>
  <c r="AJ1011" i="3"/>
  <c r="AJ1008" i="3"/>
  <c r="AJ1020" i="3"/>
  <c r="AJ977" i="3"/>
  <c r="AJ986" i="3"/>
  <c r="AP765" i="20"/>
  <c r="AJ992" i="3"/>
  <c r="B1039" i="3"/>
  <c r="I15" i="21"/>
  <c r="I14" i="21"/>
  <c r="K4" i="7"/>
  <c r="M4" i="7"/>
  <c r="M5" i="7"/>
  <c r="I10" i="7"/>
  <c r="S14" i="7"/>
  <c r="M6" i="7"/>
  <c r="K7" i="7"/>
  <c r="O9" i="7"/>
  <c r="Q8" i="7"/>
  <c r="AZ846" i="3"/>
  <c r="AZ849" i="3"/>
  <c r="I16" i="21"/>
  <c r="AP769" i="20"/>
  <c r="O4" i="7"/>
  <c r="O5" i="7"/>
  <c r="K5" i="7"/>
  <c r="K10" i="7"/>
  <c r="U14" i="7"/>
  <c r="Q9" i="7"/>
  <c r="S8" i="7"/>
  <c r="O6" i="7"/>
  <c r="M7" i="7"/>
  <c r="M10" i="7"/>
  <c r="AZ854" i="3"/>
  <c r="Q4" i="7"/>
  <c r="S4" i="7"/>
  <c r="S9" i="7"/>
  <c r="U8" i="7"/>
  <c r="W14" i="7"/>
  <c r="O7" i="7"/>
  <c r="O10" i="7"/>
  <c r="Q6" i="7"/>
  <c r="Q5" i="7"/>
  <c r="Y14" i="7"/>
  <c r="W8" i="7"/>
  <c r="U9" i="7"/>
  <c r="U4" i="7"/>
  <c r="S5" i="7"/>
  <c r="Q7" i="7"/>
  <c r="S6" i="7"/>
  <c r="Q10" i="7"/>
  <c r="W4" i="7"/>
  <c r="U5" i="7"/>
  <c r="Y8" i="7"/>
  <c r="W9" i="7"/>
  <c r="AA14" i="7"/>
  <c r="S7" i="7"/>
  <c r="S10" i="7"/>
  <c r="U6" i="7"/>
  <c r="W6" i="7"/>
  <c r="U7" i="7"/>
  <c r="U10" i="7"/>
  <c r="Y4" i="7"/>
  <c r="W5" i="7"/>
  <c r="AC14" i="7"/>
  <c r="Y9" i="7"/>
  <c r="AA8" i="7"/>
  <c r="AE14" i="7"/>
  <c r="W7" i="7"/>
  <c r="W10" i="7"/>
  <c r="Y6" i="7"/>
  <c r="AA4" i="7"/>
  <c r="Y5" i="7"/>
  <c r="AA9" i="7"/>
  <c r="AC8" i="7"/>
  <c r="AA6" i="7"/>
  <c r="Y7" i="7"/>
  <c r="Y10" i="7"/>
  <c r="AE8" i="7"/>
  <c r="AC9" i="7"/>
  <c r="AC4" i="7"/>
  <c r="AA5" i="7"/>
  <c r="AG14" i="7"/>
  <c r="AE4" i="7"/>
  <c r="AC5" i="7"/>
  <c r="AE9" i="7"/>
  <c r="AG8" i="7"/>
  <c r="AG9" i="7"/>
  <c r="AA7" i="7"/>
  <c r="AA10" i="7"/>
  <c r="AC6" i="7"/>
  <c r="AE5" i="7"/>
  <c r="AG4" i="7"/>
  <c r="AC7" i="7"/>
  <c r="AC10" i="7"/>
  <c r="AE6" i="7"/>
  <c r="AE7" i="7"/>
  <c r="AE10" i="7"/>
  <c r="AG6" i="7"/>
  <c r="AG7" i="7"/>
  <c r="AG5" i="7"/>
  <c r="AG10" i="7"/>
  <c r="AS153" i="23"/>
  <c r="AM576" i="3"/>
  <c r="R45" i="4"/>
  <c r="R54" i="4"/>
  <c r="R63" i="4"/>
  <c r="E54" i="4"/>
  <c r="E63" i="4"/>
  <c r="B63" i="13"/>
  <c r="D55" i="11"/>
  <c r="C64" i="11"/>
  <c r="D64" i="11"/>
  <c r="C105" i="4"/>
  <c r="B97" i="4"/>
  <c r="B97" i="13"/>
  <c r="D46" i="11"/>
  <c r="R94" i="4"/>
  <c r="E96" i="4"/>
  <c r="BA995" i="3"/>
  <c r="AJ995" i="3"/>
  <c r="AJ1032" i="3"/>
  <c r="T24" i="15"/>
  <c r="E97" i="4"/>
  <c r="E105" i="4"/>
  <c r="C98" i="11"/>
  <c r="D98" i="11"/>
  <c r="AG252" i="20"/>
  <c r="B105" i="13"/>
  <c r="B105" i="4"/>
  <c r="AC454" i="3"/>
  <c r="R96" i="4"/>
  <c r="R97" i="4"/>
  <c r="R105" i="4"/>
  <c r="S94" i="4"/>
  <c r="AP772" i="20"/>
  <c r="AP771" i="20"/>
  <c r="AP774" i="20"/>
  <c r="AF767" i="20"/>
  <c r="C106" i="11"/>
  <c r="D106" i="11"/>
  <c r="AB249" i="20"/>
  <c r="AG251" i="20"/>
  <c r="AG253" i="20"/>
  <c r="AK256" i="20"/>
  <c r="T792" i="20"/>
  <c r="AF792" i="20"/>
  <c r="AB47" i="15"/>
  <c r="AB49" i="15"/>
  <c r="AB54" i="15"/>
  <c r="AB55" i="15"/>
  <c r="AC453" i="3"/>
  <c r="S96" i="4"/>
  <c r="E94" i="13"/>
  <c r="E96" i="13"/>
  <c r="S97" i="4"/>
  <c r="E97" i="13"/>
  <c r="S105" i="4"/>
  <c r="E105" i="13"/>
  <c r="S107" i="4"/>
  <c r="E107" i="13"/>
  <c r="AF766" i="20"/>
  <c r="AF768" i="20"/>
  <c r="AK774" i="20"/>
  <c r="T799" i="20"/>
  <c r="AF799" i="20"/>
  <c r="AC455" i="3"/>
  <c r="T11" i="15"/>
  <c r="T23" i="15"/>
  <c r="Y11" i="15"/>
  <c r="Y23" i="15"/>
  <c r="Y26" i="15"/>
  <c r="T26" i="15"/>
  <c r="Y27" i="15" l="1"/>
  <c r="Y28" i="15" s="1"/>
  <c r="AD27" i="15"/>
  <c r="AD28" i="15" s="1"/>
  <c r="AD38" i="15" s="1"/>
  <c r="AD40" i="15" s="1"/>
  <c r="T27" i="15"/>
  <c r="I19" i="7"/>
  <c r="G21" i="7"/>
  <c r="G34" i="7" s="1"/>
  <c r="G36" i="7" s="1"/>
  <c r="E21" i="7"/>
  <c r="E34" i="7" s="1"/>
  <c r="E36" i="7" s="1"/>
  <c r="E94" i="20"/>
  <c r="AP94" i="20" s="1"/>
  <c r="AK97" i="20" s="1"/>
  <c r="T786" i="20" s="1"/>
  <c r="AF786" i="20" s="1"/>
  <c r="AF801" i="20" s="1"/>
  <c r="T28" i="15" l="1"/>
  <c r="Y64" i="15"/>
  <c r="Y68" i="15" s="1"/>
  <c r="E48" i="7"/>
  <c r="E44" i="7"/>
  <c r="I21" i="7"/>
  <c r="I34" i="7" s="1"/>
  <c r="I36" i="7" s="1"/>
  <c r="K19" i="7"/>
  <c r="G44" i="7"/>
  <c r="G48" i="7"/>
  <c r="Y38" i="15" l="1"/>
  <c r="Y40" i="15" s="1"/>
  <c r="Y41" i="15" s="1"/>
  <c r="AB56" i="15" s="1"/>
  <c r="T29" i="15"/>
  <c r="E59" i="7"/>
  <c r="E47" i="7"/>
  <c r="E46" i="7"/>
  <c r="I48" i="7"/>
  <c r="I44" i="7"/>
  <c r="G46" i="7"/>
  <c r="G47" i="7"/>
  <c r="G59" i="7"/>
  <c r="M19" i="7"/>
  <c r="K21" i="7"/>
  <c r="K34" i="7" s="1"/>
  <c r="K36" i="7" s="1"/>
  <c r="M26" i="3" l="1"/>
  <c r="P203" i="3" s="1"/>
  <c r="AB57" i="15"/>
  <c r="AB59" i="15" s="1"/>
  <c r="AB76" i="15" s="1"/>
  <c r="AB77" i="15" s="1"/>
  <c r="M27" i="3" s="1"/>
  <c r="P204" i="3" s="1"/>
  <c r="O19" i="7"/>
  <c r="M21" i="7"/>
  <c r="M34" i="7" s="1"/>
  <c r="M36" i="7" s="1"/>
  <c r="E65" i="7"/>
  <c r="E69" i="7" s="1"/>
  <c r="E61" i="7"/>
  <c r="G65" i="7"/>
  <c r="G69" i="7" s="1"/>
  <c r="G61" i="7"/>
  <c r="K44" i="7"/>
  <c r="K48" i="7"/>
  <c r="I59" i="7"/>
  <c r="I47" i="7"/>
  <c r="I46" i="7"/>
  <c r="E71" i="7" l="1"/>
  <c r="AB78" i="15"/>
  <c r="AB80" i="15" s="1"/>
  <c r="J81" i="15" s="1"/>
  <c r="E3" i="21"/>
  <c r="E7" i="21" s="1"/>
  <c r="E18" i="21" s="1"/>
  <c r="G71" i="7"/>
  <c r="K59" i="7"/>
  <c r="K46" i="7"/>
  <c r="K47" i="7"/>
  <c r="Q19" i="7"/>
  <c r="O21" i="7"/>
  <c r="O34" i="7" s="1"/>
  <c r="O36" i="7" s="1"/>
  <c r="I65" i="7"/>
  <c r="I69" i="7" s="1"/>
  <c r="I61" i="7"/>
  <c r="M48" i="7"/>
  <c r="M44" i="7"/>
  <c r="I71" i="7" l="1"/>
  <c r="O44" i="7"/>
  <c r="O48" i="7"/>
  <c r="Q21" i="7"/>
  <c r="Q34" i="7" s="1"/>
  <c r="Q36" i="7" s="1"/>
  <c r="S19" i="7"/>
  <c r="M47" i="7"/>
  <c r="M59" i="7"/>
  <c r="M46" i="7"/>
  <c r="K61" i="7"/>
  <c r="K65" i="7"/>
  <c r="K69" i="7" s="1"/>
  <c r="K71" i="7" l="1"/>
  <c r="O59" i="7"/>
  <c r="O46" i="7"/>
  <c r="O47" i="7"/>
  <c r="M65" i="7"/>
  <c r="M69" i="7" s="1"/>
  <c r="M61" i="7"/>
  <c r="U19" i="7"/>
  <c r="S21" i="7"/>
  <c r="S34" i="7" s="1"/>
  <c r="S36" i="7" s="1"/>
  <c r="Q48" i="7"/>
  <c r="Q44" i="7"/>
  <c r="M71" i="7" l="1"/>
  <c r="W19" i="7"/>
  <c r="U21" i="7"/>
  <c r="U34" i="7" s="1"/>
  <c r="U36" i="7" s="1"/>
  <c r="S44" i="7"/>
  <c r="S48" i="7"/>
  <c r="Q46" i="7"/>
  <c r="Q59" i="7"/>
  <c r="Q47" i="7"/>
  <c r="O65" i="7"/>
  <c r="O69" i="7" s="1"/>
  <c r="O61" i="7"/>
  <c r="O71" i="7" l="1"/>
  <c r="Q61" i="7"/>
  <c r="Q65" i="7"/>
  <c r="Q69" i="7" s="1"/>
  <c r="S59" i="7"/>
  <c r="S47" i="7"/>
  <c r="S46" i="7"/>
  <c r="U44" i="7"/>
  <c r="U48" i="7"/>
  <c r="Y19" i="7"/>
  <c r="W21" i="7"/>
  <c r="W34" i="7" s="1"/>
  <c r="W36" i="7" s="1"/>
  <c r="Q71" i="7" l="1"/>
  <c r="AA19" i="7"/>
  <c r="Y21" i="7"/>
  <c r="Y34" i="7" s="1"/>
  <c r="Y36" i="7" s="1"/>
  <c r="U59" i="7"/>
  <c r="U47" i="7"/>
  <c r="U46" i="7"/>
  <c r="S61" i="7"/>
  <c r="S65" i="7"/>
  <c r="S69" i="7" s="1"/>
  <c r="W44" i="7"/>
  <c r="W48" i="7"/>
  <c r="S71" i="7" l="1"/>
  <c r="AC19" i="7"/>
  <c r="AA21" i="7"/>
  <c r="AA34" i="7" s="1"/>
  <c r="AA36" i="7" s="1"/>
  <c r="U61" i="7"/>
  <c r="U65" i="7"/>
  <c r="U69" i="7" s="1"/>
  <c r="Y44" i="7"/>
  <c r="Y48" i="7"/>
  <c r="W46" i="7"/>
  <c r="W59" i="7"/>
  <c r="W47" i="7"/>
  <c r="U71" i="7" l="1"/>
  <c r="W65" i="7"/>
  <c r="W69" i="7" s="1"/>
  <c r="W61" i="7"/>
  <c r="AC21" i="7"/>
  <c r="AC34" i="7" s="1"/>
  <c r="AC36" i="7" s="1"/>
  <c r="AE19" i="7"/>
  <c r="Y47" i="7"/>
  <c r="Y59" i="7"/>
  <c r="Y46" i="7"/>
  <c r="AA48" i="7"/>
  <c r="AA44" i="7"/>
  <c r="W71" i="7" l="1"/>
  <c r="AG19" i="7"/>
  <c r="AG21" i="7" s="1"/>
  <c r="AG34" i="7" s="1"/>
  <c r="AG36" i="7" s="1"/>
  <c r="AE21" i="7"/>
  <c r="AE34" i="7" s="1"/>
  <c r="AE36" i="7" s="1"/>
  <c r="Y61" i="7"/>
  <c r="Y65" i="7"/>
  <c r="Y69" i="7" s="1"/>
  <c r="AC44" i="7"/>
  <c r="AC48" i="7"/>
  <c r="AA46" i="7"/>
  <c r="AA47" i="7"/>
  <c r="AA59" i="7"/>
  <c r="Y71" i="7" l="1"/>
  <c r="AC59" i="7"/>
  <c r="AC46" i="7"/>
  <c r="AC47" i="7"/>
  <c r="AA65" i="7"/>
  <c r="AA69" i="7" s="1"/>
  <c r="AA61" i="7"/>
  <c r="AE48" i="7"/>
  <c r="AE44" i="7"/>
  <c r="AG44" i="7"/>
  <c r="AG48" i="7"/>
  <c r="AA71" i="7" l="1"/>
  <c r="AE46" i="7"/>
  <c r="AE59" i="7"/>
  <c r="AE47" i="7"/>
  <c r="AG59" i="7"/>
  <c r="AG46" i="7"/>
  <c r="AG47" i="7"/>
  <c r="AC65" i="7"/>
  <c r="AC69" i="7" s="1"/>
  <c r="AC71" i="7" s="1"/>
  <c r="AG65" i="7" l="1"/>
  <c r="AG69" i="7" s="1"/>
  <c r="AG71" i="7" s="1"/>
  <c r="AE65" i="7"/>
  <c r="AE69" i="7" s="1"/>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<sst xmlns="http://schemas.openxmlformats.org/spreadsheetml/2006/main" count="5005" uniqueCount="2607">
  <si>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</si>
  <si>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</si>
  <si>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</si>
  <si>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</si>
  <si>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</si>
  <si>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</si>
  <si>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</si>
  <si>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</si>
  <si>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</si>
  <si>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</si>
  <si>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</si>
  <si>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</si>
  <si>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</si>
  <si>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</si>
  <si>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</si>
  <si>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</si>
  <si>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</si>
  <si>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</si>
  <si>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</si>
  <si>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</si>
  <si>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</si>
  <si>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</si>
  <si>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</si>
  <si>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</si>
  <si>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</si>
  <si>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</si>
  <si>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</si>
  <si>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</si>
  <si>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</si>
  <si>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</si>
  <si>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</si>
  <si>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</si>
  <si>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</si>
  <si>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</si>
  <si>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</si>
  <si>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</si>
  <si>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</si>
  <si>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</si>
  <si>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</si>
  <si>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</si>
  <si>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</si>
  <si>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</si>
  <si>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</si>
  <si>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</si>
  <si>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</si>
  <si>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</si>
  <si>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</si>
  <si>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</si>
  <si>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</si>
  <si>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</si>
  <si>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</si>
  <si>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</si>
  <si>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</si>
  <si>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</si>
  <si>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</si>
  <si>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</si>
  <si>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</si>
  <si>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</si>
  <si>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</si>
  <si>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</si>
  <si>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</si>
  <si>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</si>
  <si>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</si>
  <si>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</si>
  <si>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</si>
  <si>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</si>
  <si>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</si>
  <si>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</si>
  <si>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</si>
  <si>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</si>
  <si>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</si>
  <si>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</si>
  <si>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</si>
  <si>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</si>
  <si>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</si>
  <si>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</si>
  <si>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</si>
  <si>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</si>
  <si>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</si>
  <si>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</si>
  <si>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</si>
  <si>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</si>
  <si>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</si>
  <si>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</si>
  <si>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</si>
  <si>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</si>
  <si>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</si>
  <si>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</si>
  <si>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</si>
  <si>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</si>
  <si>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</si>
  <si>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</si>
  <si>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</si>
  <si>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</si>
  <si>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</si>
  <si>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</si>
  <si>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</si>
  <si>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</si>
  <si>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</si>
  <si>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</si>
  <si>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</si>
  <si>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</si>
  <si>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</si>
  <si>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</si>
  <si>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</si>
  <si>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</si>
  <si>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</si>
  <si>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</si>
  <si>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</si>
  <si>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</si>
  <si>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</si>
  <si>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</si>
  <si>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</si>
  <si>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</si>
  <si>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</si>
  <si>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</si>
  <si>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</si>
  <si>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</si>
  <si>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</si>
  <si>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</si>
  <si>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</si>
  <si>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</si>
  <si>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</si>
  <si>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</si>
  <si>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</si>
  <si>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</si>
  <si>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</si>
  <si>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</si>
  <si>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</si>
  <si>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</si>
  <si>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</si>
  <si>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</si>
  <si>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</si>
  <si>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</si>
  <si>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</si>
  <si>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</si>
  <si>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</si>
  <si>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</si>
  <si>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</si>
  <si>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</si>
  <si>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</si>
  <si>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</si>
  <si>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</si>
  <si>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</si>
  <si>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</si>
  <si>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</si>
  <si>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</si>
  <si>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</si>
  <si>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</si>
  <si>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</si>
  <si>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</si>
  <si>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</si>
  <si>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</si>
  <si>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</si>
  <si>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</si>
  <si>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</si>
  <si>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</si>
  <si>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</si>
  <si>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</si>
  <si>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</si>
  <si>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</si>
  <si>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</si>
  <si>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</si>
  <si>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</si>
  <si>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</si>
  <si>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</si>
  <si>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</si>
  <si>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</si>
  <si>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</si>
  <si>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</si>
  <si>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</si>
  <si>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</si>
  <si>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</si>
  <si>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</si>
  <si>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</si>
  <si>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</si>
  <si>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</si>
  <si>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</si>
  <si>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</si>
  <si>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</si>
  <si>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</si>
  <si>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</si>
  <si>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</si>
  <si>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</si>
  <si>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</si>
  <si>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</si>
  <si>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</si>
  <si>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</si>
  <si>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</si>
  <si>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</si>
  <si>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</si>
  <si>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</si>
  <si>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</si>
  <si>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</si>
  <si>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</si>
  <si>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</si>
  <si>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</si>
  <si>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</si>
  <si>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</si>
  <si>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</si>
  <si>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</si>
  <si>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</si>
  <si>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</si>
  <si>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</si>
  <si>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</si>
  <si>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</si>
  <si>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</si>
  <si>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</si>
  <si>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</si>
  <si>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</si>
  <si>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</si>
  <si>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</si>
  <si>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</si>
  <si>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</si>
  <si>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</si>
  <si>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</si>
  <si>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</si>
  <si>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</si>
  <si>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</si>
  <si>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</si>
  <si>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</si>
  <si>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</si>
  <si>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</si>
  <si>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</si>
  <si>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</si>
  <si>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</si>
  <si>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</si>
  <si>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</si>
  <si>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</si>
  <si>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</si>
  <si>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</si>
  <si>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</si>
  <si>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</si>
  <si>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</si>
  <si>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</si>
  <si>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</si>
  <si>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</si>
  <si>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</si>
  <si>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</si>
  <si>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</si>
  <si>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</si>
  <si>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</si>
  <si>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</si>
  <si>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</si>
  <si>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</si>
  <si>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</si>
  <si>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</si>
  <si>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</si>
  <si>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</si>
  <si>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</si>
  <si>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</si>
  <si>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</si>
  <si>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</si>
  <si>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</si>
  <si>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</si>
  <si>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</si>
  <si>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</si>
  <si>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</si>
  <si>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</si>
  <si>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</si>
  <si>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</si>
  <si>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</si>
  <si>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</si>
  <si>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</si>
  <si>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</si>
  <si>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</si>
  <si>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</si>
  <si>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</si>
  <si>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</si>
  <si>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</si>
  <si>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</si>
  <si>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</si>
  <si>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</si>
  <si>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</si>
  <si>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</si>
  <si>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</si>
  <si>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</si>
  <si>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</si>
  <si>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</si>
  <si>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</si>
  <si>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</si>
  <si>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</si>
  <si>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</si>
  <si>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</si>
  <si>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</si>
  <si>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</si>
  <si>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</si>
  <si>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</si>
  <si>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</si>
  <si>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</si>
  <si>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</si>
  <si>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</si>
  <si>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</si>
  <si>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</si>
  <si>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</si>
  <si>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</si>
  <si>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</si>
  <si>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</si>
  <si>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</si>
  <si>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</si>
  <si>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</si>
  <si>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</si>
  <si>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</si>
  <si>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</si>
  <si>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</si>
  <si>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</si>
  <si>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</si>
  <si>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</si>
  <si>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</si>
  <si>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</si>
  <si>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</si>
  <si>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</si>
  <si>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</si>
  <si>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</si>
  <si>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</si>
  <si>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</si>
  <si>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</si>
  <si>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</si>
  <si>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</si>
  <si>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</si>
  <si>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</si>
  <si>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</si>
  <si>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</si>
  <si>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</si>
  <si>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</si>
  <si>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</si>
  <si>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</si>
  <si>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</si>
  <si>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</si>
  <si>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</si>
  <si>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</si>
  <si>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</si>
  <si>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</si>
  <si>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</si>
  <si>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</si>
  <si>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</si>
  <si>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</si>
  <si>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</si>
  <si>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</si>
  <si>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</si>
  <si>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</si>
  <si>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</si>
  <si>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</si>
  <si>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</si>
  <si>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</si>
  <si>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</si>
  <si>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</si>
  <si>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</si>
  <si>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</si>
  <si>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</si>
  <si>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</si>
  <si>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</si>
  <si>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</si>
  <si>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</si>
  <si>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</si>
  <si>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</si>
  <si>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</si>
  <si>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</si>
  <si>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</si>
  <si>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</si>
  <si>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</si>
  <si>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</si>
  <si>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</si>
  <si>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</si>
  <si>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</si>
  <si>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</si>
  <si>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</si>
  <si>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</si>
  <si>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</si>
  <si>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</si>
  <si>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</si>
  <si>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</si>
  <si>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</si>
  <si>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</si>
  <si>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</si>
  <si>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</si>
  <si>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</si>
  <si>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</si>
  <si>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</si>
  <si>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</si>
  <si>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</si>
  <si>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</si>
  <si>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</si>
  <si>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</si>
  <si>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</si>
  <si>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</si>
  <si>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</si>
  <si>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</si>
  <si>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</si>
  <si>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</si>
  <si>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</si>
  <si>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</si>
  <si>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</si>
  <si>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</si>
  <si>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</si>
  <si>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</si>
  <si>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</si>
  <si>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</si>
  <si>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</si>
  <si>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</si>
  <si>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</si>
  <si>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</si>
  <si>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</si>
  <si>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</si>
  <si>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</si>
  <si>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</si>
  <si>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</si>
  <si>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</si>
  <si>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</si>
  <si>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</si>
  <si>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</si>
  <si>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</si>
  <si>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</si>
  <si>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</si>
  <si>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</si>
  <si>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</si>
  <si>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</si>
  <si>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</si>
  <si>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</si>
  <si>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</si>
  <si>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</si>
  <si>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</si>
  <si>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</si>
  <si>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</si>
  <si>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</si>
  <si>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</si>
  <si>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</si>
  <si>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</si>
  <si>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</si>
  <si>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</si>
  <si>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</si>
  <si>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</si>
  <si>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</si>
  <si>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</si>
  <si>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</si>
  <si>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</si>
  <si>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</si>
  <si>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</si>
  <si>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</si>
  <si>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</si>
  <si>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</si>
  <si>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</si>
  <si>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</si>
  <si>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</si>
  <si>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</si>
  <si>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</si>
  <si>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</si>
  <si>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</si>
  <si>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</si>
  <si>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</si>
  <si>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</si>
  <si>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</si>
  <si>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</si>
  <si>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</si>
  <si>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</si>
  <si>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</si>
  <si>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</si>
  <si>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</si>
  <si>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</si>
  <si>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</si>
  <si>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</si>
  <si>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</si>
  <si>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</si>
  <si>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</si>
  <si>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</si>
  <si>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</si>
  <si>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</si>
  <si>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</si>
  <si>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</si>
  <si>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</si>
  <si>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</si>
  <si>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</si>
  <si>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</si>
  <si>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</si>
  <si>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</si>
  <si>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</si>
  <si>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</si>
  <si>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</si>
  <si>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</si>
  <si>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</si>
  <si>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</si>
  <si>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</si>
  <si>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</si>
  <si>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</si>
  <si>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</si>
  <si>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</si>
  <si>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</si>
  <si>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</si>
  <si>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</si>
  <si>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</si>
  <si>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</si>
  <si>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</si>
  <si>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</si>
  <si>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</si>
  <si>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</si>
  <si>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</si>
  <si>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</si>
  <si>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</si>
  <si>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</si>
  <si>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</si>
  <si>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</si>
  <si>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</si>
  <si>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</si>
  <si>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</si>
  <si>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</si>
  <si>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</si>
  <si>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</si>
  <si>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</si>
  <si>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</si>
  <si>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</si>
  <si>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</si>
  <si>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</si>
  <si>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</si>
  <si>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</si>
  <si>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</si>
  <si>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</si>
  <si>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</si>
  <si>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</si>
  <si>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</si>
  <si>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</si>
  <si>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</si>
  <si>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</si>
  <si>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</si>
  <si>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</si>
  <si>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</si>
  <si>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</si>
  <si>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</si>
  <si>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</si>
  <si>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</si>
  <si>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</si>
  <si>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</si>
  <si>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</si>
  <si>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</si>
  <si>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</si>
  <si>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</si>
  <si>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</si>
  <si>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</si>
  <si>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</si>
  <si>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</si>
  <si>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</si>
  <si>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</si>
  <si>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</si>
  <si>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</si>
  <si>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</si>
  <si>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</si>
  <si>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</si>
  <si>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</si>
  <si>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</si>
  <si>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</si>
  <si>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</si>
  <si>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</si>
  <si>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</si>
  <si>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</si>
  <si>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</si>
  <si>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</si>
  <si>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</si>
  <si>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</si>
  <si>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</si>
  <si>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</si>
  <si>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</si>
  <si>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</si>
  <si>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</si>
  <si>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</si>
  <si>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</si>
  <si>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</si>
  <si>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</si>
  <si>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</si>
  <si>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</si>
  <si>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</si>
  <si>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</si>
  <si>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</si>
  <si>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</si>
  <si>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</si>
  <si>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</si>
  <si>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</si>
  <si>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</si>
  <si>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</si>
  <si>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</si>
  <si>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</si>
  <si>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</si>
  <si>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</si>
  <si>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</si>
  <si>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</si>
  <si>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</si>
  <si>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</si>
  <si>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</si>
  <si>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</si>
  <si>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</si>
  <si>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</si>
  <si>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</si>
  <si>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</si>
  <si>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</si>
  <si>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</si>
  <si>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</si>
  <si>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</si>
  <si>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</si>
  <si>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</si>
  <si>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</si>
  <si>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</si>
  <si>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</si>
  <si>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</si>
  <si>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</si>
  <si>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</si>
  <si>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</si>
  <si>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</si>
  <si>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</si>
  <si>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</si>
  <si>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</si>
  <si>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</si>
  <si>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</si>
  <si>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</si>
  <si>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</si>
  <si>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</si>
  <si>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</si>
  <si>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</si>
  <si>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</si>
  <si>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</si>
  <si>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</si>
  <si>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</si>
  <si>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</si>
  <si>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</si>
  <si>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</si>
  <si>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</si>
  <si>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</si>
  <si>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</si>
  <si>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</si>
  <si>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</si>
  <si>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</si>
  <si>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</si>
  <si>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</si>
  <si>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</si>
  <si>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</si>
  <si>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</si>
  <si>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</si>
  <si>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</si>
  <si>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</si>
  <si>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</si>
  <si>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</si>
  <si>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</si>
  <si>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</si>
  <si>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</si>
  <si>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</si>
  <si>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</si>
  <si>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</si>
  <si>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</si>
  <si>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</si>
  <si>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</si>
  <si>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</si>
  <si>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</si>
  <si>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</si>
  <si>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</si>
  <si>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</si>
  <si>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</si>
  <si>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</si>
  <si>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</si>
  <si>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</si>
  <si>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</si>
  <si>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</si>
  <si>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</si>
  <si>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</si>
  <si>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</si>
  <si>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</si>
  <si>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</si>
  <si>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</si>
  <si>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</si>
  <si>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</si>
  <si>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</si>
  <si>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</si>
  <si>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</si>
  <si>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</si>
  <si>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</si>
  <si>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</si>
  <si>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</si>
  <si>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</si>
  <si>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</si>
  <si>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</si>
  <si>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</si>
  <si>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</si>
  <si>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</si>
  <si>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</si>
  <si>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</si>
  <si>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</si>
  <si>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</si>
  <si>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</si>
  <si>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</si>
  <si>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</si>
  <si>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</si>
  <si>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</si>
  <si>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</si>
  <si>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</si>
  <si>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</si>
  <si>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</si>
  <si>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</si>
  <si>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</si>
  <si>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</si>
  <si>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</si>
  <si>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</si>
  <si>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</si>
  <si>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</si>
  <si>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</si>
  <si>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</si>
  <si>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</si>
  <si>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</si>
  <si>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</si>
  <si>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</si>
  <si>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</si>
  <si>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</si>
  <si>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</si>
  <si>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</si>
  <si>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</si>
  <si>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</si>
  <si>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</si>
  <si>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</si>
  <si>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</si>
  <si>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</si>
  <si>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</si>
  <si>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</si>
  <si>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</si>
  <si>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</si>
  <si>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</si>
  <si>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</si>
  <si>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</si>
  <si>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</si>
  <si>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</si>
  <si>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</si>
  <si>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</si>
  <si>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</si>
  <si>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</si>
  <si>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</si>
  <si>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</si>
  <si>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</si>
  <si>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</si>
  <si>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</si>
  <si>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</si>
  <si>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</si>
  <si>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</si>
  <si>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</si>
  <si>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</si>
  <si>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</si>
  <si>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</si>
  <si>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</si>
  <si>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</si>
  <si>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</si>
  <si>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</si>
  <si>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</si>
  <si>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</si>
  <si>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</si>
  <si>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</si>
  <si>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</si>
  <si>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</si>
  <si>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</si>
  <si>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</si>
  <si>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</si>
  <si>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</si>
  <si>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</si>
  <si>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</si>
  <si>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</si>
  <si>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</si>
  <si>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</si>
  <si>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</si>
  <si>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</si>
  <si>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</si>
  <si>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</si>
  <si>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</si>
  <si>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</si>
  <si>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</si>
  <si>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</si>
  <si>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</si>
  <si>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</si>
  <si>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</si>
  <si>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</si>
  <si>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</si>
  <si>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</si>
  <si>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</si>
  <si>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</si>
  <si>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</si>
  <si>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</si>
  <si>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</si>
  <si>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</si>
  <si>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</si>
  <si>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</si>
  <si>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</si>
  <si>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</si>
  <si>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</si>
  <si>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</si>
  <si>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</si>
  <si>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</si>
  <si>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</si>
  <si>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</si>
  <si>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</si>
  <si>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</si>
  <si>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</si>
  <si>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</si>
  <si>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</si>
  <si>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</si>
  <si>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</si>
  <si>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</si>
  <si>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</si>
  <si>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</si>
  <si>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</si>
  <si>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</si>
  <si>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</si>
  <si>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</si>
  <si>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</si>
  <si>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</si>
  <si>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</si>
  <si>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</si>
  <si>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</si>
  <si>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</si>
  <si>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</si>
  <si>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</si>
  <si>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</si>
  <si>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</si>
  <si>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</si>
  <si>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</si>
  <si>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</si>
  <si>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</si>
  <si>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</si>
  <si>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</si>
  <si>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</si>
  <si>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</si>
  <si>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</si>
  <si>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</si>
  <si>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</si>
  <si>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</si>
  <si>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</si>
  <si>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</si>
  <si>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</si>
  <si>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</si>
  <si>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</si>
  <si>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</si>
  <si>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</si>
  <si>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</si>
  <si>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</si>
  <si>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</si>
  <si>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</si>
  <si>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</si>
  <si>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</si>
  <si>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</si>
  <si>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</si>
  <si>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</si>
  <si>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</si>
  <si>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</si>
  <si>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</si>
  <si>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</si>
  <si>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</si>
  <si>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</si>
  <si>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</si>
  <si>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</si>
  <si>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</si>
  <si>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</si>
  <si>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</si>
  <si>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</si>
  <si>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</si>
  <si>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</si>
  <si>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</si>
  <si>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</si>
  <si>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</si>
  <si>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</si>
  <si>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</si>
  <si>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</si>
  <si>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</si>
  <si>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</si>
  <si>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</si>
  <si>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</si>
  <si>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</si>
  <si>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</si>
  <si>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</si>
  <si>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</si>
  <si>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</si>
  <si>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</si>
  <si>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</si>
  <si>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</si>
  <si>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</si>
  <si>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</si>
  <si>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</si>
  <si>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</si>
  <si>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</si>
  <si>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</si>
  <si>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</si>
  <si>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</si>
  <si>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</si>
  <si>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</si>
  <si>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</si>
  <si>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</si>
  <si>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</si>
  <si>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</si>
  <si>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</si>
  <si>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</si>
  <si>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</si>
  <si>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</si>
  <si>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</si>
  <si>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</si>
  <si>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</si>
  <si>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</si>
  <si>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</si>
  <si>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</si>
  <si>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</si>
  <si>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</si>
  <si>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</si>
  <si>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</si>
  <si>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</si>
  <si>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</si>
  <si>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</si>
  <si>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</si>
  <si>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</si>
  <si>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</si>
  <si>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</si>
  <si>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</si>
  <si>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</si>
  <si>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</si>
  <si>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</si>
  <si>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</si>
  <si>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</si>
  <si>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</si>
  <si>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</si>
  <si>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</si>
  <si>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</si>
  <si>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</si>
  <si>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</si>
  <si>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</si>
  <si>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</si>
  <si>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</si>
  <si>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</si>
  <si>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</si>
  <si>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</si>
  <si>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</si>
  <si>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</si>
  <si>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</si>
  <si>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</si>
  <si>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</si>
  <si>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</si>
  <si>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</si>
  <si>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</si>
  <si>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</si>
  <si>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</si>
  <si>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</si>
  <si>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</si>
  <si>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</si>
  <si>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</si>
  <si>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</si>
  <si>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</si>
  <si>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</si>
  <si>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</si>
  <si>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</si>
  <si>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</si>
  <si>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</si>
  <si>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</si>
  <si>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</si>
  <si>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</si>
  <si>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</si>
  <si>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</si>
  <si>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</si>
  <si>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</si>
  <si>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</si>
  <si>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</si>
  <si>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</si>
  <si>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</si>
  <si>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</si>
  <si>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</si>
  <si>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</si>
  <si>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</si>
  <si>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</si>
  <si>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</si>
  <si>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</si>
  <si>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</si>
  <si>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</si>
  <si>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</si>
  <si>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</si>
  <si>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</si>
  <si>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</si>
  <si>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</si>
  <si>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</si>
  <si>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</si>
  <si>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</si>
  <si>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</si>
  <si>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</si>
  <si>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</si>
  <si>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</si>
  <si>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</si>
  <si>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</si>
  <si>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</si>
  <si>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</si>
  <si>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</si>
  <si>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</si>
  <si>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</si>
  <si>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</si>
  <si>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</si>
  <si>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</si>
  <si>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</si>
  <si>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</si>
  <si>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</si>
  <si>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</si>
  <si>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</si>
  <si>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</si>
  <si>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</si>
  <si>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</si>
  <si>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</si>
  <si>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</si>
  <si>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</si>
  <si>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</si>
  <si>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</si>
  <si>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</si>
  <si>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</si>
  <si>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</si>
  <si>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</si>
  <si>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</si>
  <si>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</si>
  <si>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</si>
  <si>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</si>
  <si>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</si>
  <si>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</si>
  <si>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</si>
  <si>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</si>
  <si>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</si>
  <si>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</si>
  <si>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</si>
  <si>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</si>
  <si>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</si>
  <si>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</si>
  <si>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</si>
  <si>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</si>
  <si>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</si>
  <si>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</si>
  <si>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</si>
  <si>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</si>
  <si>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</si>
  <si>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</si>
  <si>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</si>
  <si>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</si>
  <si>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</si>
  <si>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</si>
  <si>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</si>
  <si>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</si>
  <si>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</si>
  <si>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</si>
  <si>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</si>
  <si>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</si>
  <si>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</si>
  <si>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</si>
  <si>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</si>
  <si>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</si>
  <si>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</si>
  <si>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</si>
  <si>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</si>
  <si>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</si>
  <si>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</si>
  <si>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</si>
  <si>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</si>
  <si>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</si>
  <si>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</si>
  <si>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</si>
  <si>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</si>
  <si>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</si>
  <si>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</si>
  <si>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</si>
  <si>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</si>
  <si>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</si>
  <si>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</si>
  <si>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</si>
  <si>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</si>
  <si>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</si>
  <si>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</si>
  <si>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</si>
  <si>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</si>
  <si>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</si>
  <si>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</si>
  <si>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</si>
  <si>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</si>
  <si>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</si>
  <si>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</si>
  <si>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</si>
  <si>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</si>
  <si>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</si>
  <si>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</si>
  <si>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</si>
  <si>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</si>
  <si>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</si>
  <si>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</si>
  <si>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</si>
  <si>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</si>
  <si>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</si>
  <si>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</si>
  <si>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</si>
  <si>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</si>
  <si>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</si>
  <si>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</si>
  <si>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</si>
  <si>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</si>
  <si>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</si>
  <si>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</si>
  <si>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</si>
  <si>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</si>
  <si>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</si>
  <si>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</si>
  <si>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</si>
  <si>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</si>
  <si>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</si>
  <si>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</si>
  <si>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</si>
  <si>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</si>
  <si>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</si>
  <si>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</si>
  <si>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</si>
  <si>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</si>
  <si>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</si>
  <si>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</si>
  <si>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</si>
  <si>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</si>
  <si>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</si>
  <si>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</si>
  <si>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</si>
  <si>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</si>
  <si>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</si>
  <si>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</si>
  <si>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</si>
  <si>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</si>
  <si>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</si>
  <si>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</si>
  <si>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</si>
  <si>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</si>
  <si>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</si>
  <si>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</si>
  <si>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</si>
  <si>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</si>
  <si>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</si>
  <si>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</si>
  <si>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</si>
  <si>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</si>
  <si>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</si>
  <si>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</si>
  <si>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</si>
  <si>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</si>
  <si>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</si>
  <si>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</si>
  <si>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</si>
  <si>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</si>
  <si>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</si>
  <si>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</si>
  <si>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</si>
  <si>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</si>
  <si>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</si>
  <si>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</si>
  <si>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</si>
  <si>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</si>
  <si>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</si>
  <si>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</si>
  <si>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</si>
  <si>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</si>
  <si>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</si>
  <si>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</si>
  <si>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</si>
  <si>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</si>
  <si>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</si>
  <si>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</si>
  <si>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</si>
  <si>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</si>
  <si>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</si>
  <si>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</si>
  <si>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</si>
  <si>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</si>
  <si>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</si>
  <si>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</si>
  <si>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</si>
  <si>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</si>
  <si>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</si>
  <si>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</si>
  <si>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</si>
  <si>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</si>
  <si>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</si>
  <si>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</si>
  <si>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</si>
  <si>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</si>
  <si>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</si>
  <si>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</si>
  <si>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</si>
  <si>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</si>
  <si>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</si>
  <si>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</si>
  <si>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</si>
  <si>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</si>
  <si>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</si>
  <si>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</si>
  <si>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</si>
  <si>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</si>
  <si>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</si>
  <si>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</si>
  <si>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</si>
  <si>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</si>
  <si>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</si>
  <si>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</si>
  <si>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</si>
  <si>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</si>
  <si>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</si>
  <si>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</si>
  <si>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</si>
  <si>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</si>
  <si>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</si>
  <si>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</si>
  <si>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</si>
  <si>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</si>
  <si>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</si>
  <si>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</si>
  <si>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</si>
  <si>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</si>
  <si>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</si>
  <si>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</si>
  <si>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</si>
  <si>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</si>
  <si>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</si>
  <si>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</si>
  <si>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</si>
  <si>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</si>
  <si>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</si>
  <si>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</si>
  <si>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</si>
  <si>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</si>
  <si>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</si>
  <si>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</si>
  <si>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</si>
  <si>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</si>
  <si>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</si>
  <si>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</si>
  <si>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</si>
  <si>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</si>
  <si>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</si>
  <si>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</si>
  <si>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</si>
  <si>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</si>
  <si>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</si>
  <si>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</si>
  <si>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</si>
  <si>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</si>
  <si>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</si>
  <si>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</si>
  <si>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</si>
  <si>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</si>
  <si>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</si>
  <si>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</si>
  <si>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</si>
  <si>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</si>
  <si>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</si>
  <si>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</si>
  <si>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</si>
  <si>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</si>
  <si>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</si>
  <si>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</si>
  <si>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</si>
  <si>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</si>
  <si>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</si>
  <si>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</si>
  <si>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</si>
  <si>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</si>
  <si>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</si>
  <si>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</si>
  <si>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</si>
  <si>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</si>
  <si>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</si>
  <si>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</si>
  <si>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</si>
  <si>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</si>
  <si>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</si>
  <si>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</si>
  <si>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</si>
  <si>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</si>
  <si>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</si>
  <si>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</si>
  <si>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</si>
  <si>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</si>
  <si>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</si>
  <si>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</si>
  <si>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</si>
  <si>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</si>
  <si>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</si>
  <si>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</si>
  <si>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</si>
  <si>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</si>
  <si>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</si>
  <si>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</si>
  <si>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</si>
  <si>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</si>
  <si>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</si>
  <si>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</si>
  <si>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</si>
  <si>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</si>
  <si>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</si>
  <si>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</si>
  <si>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</si>
  <si>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</si>
  <si>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</si>
  <si>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</si>
  <si>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</si>
  <si>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</si>
  <si>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</si>
  <si>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</si>
  <si>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</si>
  <si>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</si>
  <si>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</si>
  <si>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</si>
  <si>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</si>
  <si>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</si>
  <si>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</si>
  <si>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</si>
  <si>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</si>
  <si>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</si>
  <si>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</si>
  <si>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</si>
  <si>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</si>
  <si>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</si>
  <si>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</si>
  <si>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</si>
  <si>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</si>
  <si>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</si>
  <si>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</si>
  <si>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</si>
  <si>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</si>
  <si>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</si>
  <si>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</si>
  <si>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</si>
  <si>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</si>
  <si>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</si>
  <si>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</si>
  <si>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</si>
  <si>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</si>
  <si>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</si>
  <si>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</si>
  <si>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</si>
  <si>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</si>
  <si>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</si>
  <si>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</si>
  <si>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</si>
  <si>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</si>
  <si>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</si>
  <si>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</si>
  <si>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</si>
  <si>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</si>
  <si>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</si>
  <si>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</si>
  <si>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</si>
  <si>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</si>
  <si>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</si>
  <si>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</si>
  <si>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</si>
  <si>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</si>
  <si>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</si>
  <si>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</si>
  <si>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</si>
  <si>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</si>
  <si>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</si>
  <si>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</si>
  <si>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</si>
  <si>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</si>
  <si>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</si>
  <si>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</si>
  <si>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</si>
  <si>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</si>
  <si>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</si>
  <si>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</si>
  <si>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</si>
  <si>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</si>
  <si>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</si>
  <si>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</si>
  <si>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</si>
  <si>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</si>
  <si>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</si>
  <si>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</si>
  <si>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</si>
  <si>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</si>
  <si>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</si>
  <si>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</si>
  <si>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</si>
  <si>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</si>
  <si>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</si>
  <si>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</si>
  <si>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</si>
  <si>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</si>
  <si>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</si>
  <si>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</si>
  <si>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</si>
  <si>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</si>
  <si>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</si>
  <si>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</si>
  <si>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</si>
  <si>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</si>
  <si>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</si>
  <si>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</si>
  <si>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</si>
  <si>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</si>
  <si>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</si>
  <si>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</si>
  <si>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</si>
  <si>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</si>
  <si>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</si>
  <si>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</si>
  <si>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</si>
  <si>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</si>
  <si>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</si>
  <si>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</si>
  <si>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</si>
  <si>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</si>
  <si>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</si>
  <si>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</si>
  <si>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</si>
  <si>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</si>
  <si>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</si>
  <si>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</si>
  <si>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</si>
  <si>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</si>
  <si>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</si>
  <si>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</si>
  <si>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</si>
  <si>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</si>
  <si>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</si>
  <si>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</si>
  <si>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</si>
  <si>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</si>
  <si>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</si>
  <si>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</si>
  <si>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</si>
  <si>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</si>
  <si>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</si>
  <si>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</si>
  <si>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</si>
  <si>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</si>
  <si>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</si>
  <si>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</si>
  <si>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</si>
  <si>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</si>
  <si>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</si>
  <si>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</si>
  <si>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</si>
  <si>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</si>
  <si>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</si>
  <si>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</si>
  <si>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</si>
  <si>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</si>
  <si>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</si>
  <si>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</si>
  <si>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</si>
  <si>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</si>
  <si>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</si>
  <si>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</si>
  <si>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</si>
  <si>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</si>
  <si>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</si>
  <si>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</si>
  <si>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</si>
  <si>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</si>
  <si>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</si>
  <si>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</si>
  <si>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</si>
  <si>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</si>
  <si>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</si>
  <si>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</si>
  <si>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</si>
  <si>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</si>
  <si>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</si>
  <si>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</si>
  <si>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</si>
  <si>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</si>
  <si>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</si>
  <si>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</si>
  <si>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</si>
  <si>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</si>
  <si>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</si>
  <si>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</si>
  <si>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</si>
  <si>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</si>
  <si>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</si>
  <si>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</si>
  <si>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</si>
  <si>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</si>
  <si>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</si>
  <si>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</si>
  <si>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</si>
  <si>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</si>
  <si>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</si>
  <si>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</si>
  <si>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</si>
  <si>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</si>
  <si>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</si>
  <si>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</si>
  <si>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</si>
  <si>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</si>
  <si>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</si>
  <si>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</si>
  <si>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</si>
  <si>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</si>
  <si>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</si>
  <si>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</si>
  <si>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</si>
  <si>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</si>
  <si>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</si>
  <si>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</si>
  <si>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</si>
  <si>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</si>
  <si>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</si>
  <si>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</si>
  <si>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</si>
  <si>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</si>
  <si>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</si>
  <si>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</si>
  <si>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</si>
  <si>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</si>
  <si>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</si>
  <si>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</si>
  <si>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</si>
  <si>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</si>
  <si>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</si>
  <si>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</si>
  <si>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</si>
  <si>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</si>
  <si>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</si>
  <si>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</si>
  <si>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</si>
  <si>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</si>
  <si>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</si>
  <si>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</si>
  <si>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</si>
  <si>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</si>
  <si>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</si>
  <si>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</si>
  <si>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</si>
  <si>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</si>
  <si>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</si>
  <si>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</si>
  <si>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</si>
  <si>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</si>
  <si>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</si>
  <si>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</si>
  <si>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</si>
  <si>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</si>
  <si>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</si>
  <si>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</si>
  <si>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</si>
  <si>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</si>
  <si>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</si>
  <si>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</si>
  <si>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</si>
  <si>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</si>
  <si>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</si>
  <si>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</si>
  <si>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</si>
  <si>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</si>
  <si>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</si>
  <si>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</si>
  <si>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</si>
  <si>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</si>
  <si>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</si>
  <si>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</si>
  <si>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</si>
  <si>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</si>
  <si>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</si>
  <si>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</si>
  <si>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</si>
  <si>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</si>
  <si>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</si>
  <si>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</si>
  <si>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</si>
  <si>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</si>
  <si>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</si>
  <si>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</si>
  <si>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</si>
  <si>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</si>
  <si>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</si>
  <si>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</si>
  <si>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</si>
  <si>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</si>
  <si>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</si>
  <si>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</si>
  <si>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</si>
  <si>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</si>
  <si>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</si>
  <si>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</si>
  <si>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</si>
  <si>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</si>
  <si>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</si>
  <si>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</si>
  <si>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</si>
  <si>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</si>
  <si>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</si>
  <si>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</si>
  <si>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</si>
  <si>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</si>
  <si>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</si>
  <si>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</si>
  <si>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</si>
  <si>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</si>
  <si>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</si>
  <si>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</si>
  <si>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</si>
  <si>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</si>
  <si>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</si>
  <si>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</si>
  <si>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</si>
  <si>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</si>
  <si>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</si>
  <si>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</si>
  <si>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</si>
  <si>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</si>
  <si>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</si>
  <si>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</si>
  <si>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</si>
  <si>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</si>
  <si>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</si>
  <si>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</si>
  <si>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</si>
  <si>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</si>
  <si>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</si>
  <si>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</si>
  <si>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</si>
  <si>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</si>
  <si>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</si>
  <si>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</si>
  <si>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</si>
  <si>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</si>
  <si>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</si>
  <si>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</si>
  <si>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</si>
  <si>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</si>
  <si>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</si>
  <si>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</si>
  <si>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</si>
  <si>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</si>
  <si>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</si>
  <si>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</si>
  <si>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</si>
  <si>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</si>
  <si>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</si>
  <si>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</si>
  <si>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</si>
  <si>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</si>
  <si>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</si>
  <si>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</si>
  <si>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</si>
  <si>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</si>
  <si>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</si>
  <si>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</si>
  <si>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</si>
  <si>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</si>
  <si>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</si>
  <si>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</si>
  <si>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</si>
  <si>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</si>
  <si>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</si>
  <si>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</si>
  <si>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</si>
  <si>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</si>
  <si>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</si>
  <si>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</si>
  <si>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</si>
  <si>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</si>
  <si>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</si>
  <si>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</si>
  <si>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</si>
  <si>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</si>
  <si>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</si>
  <si>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</si>
  <si>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</si>
  <si>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</si>
  <si>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</si>
  <si>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</si>
  <si>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</si>
  <si>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</si>
  <si>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</si>
  <si>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</si>
  <si>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</si>
  <si>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</si>
  <si>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</si>
  <si>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</si>
  <si>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</si>
  <si>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</si>
  <si>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</si>
  <si>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</si>
  <si>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</si>
  <si>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</si>
  <si>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</si>
  <si>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</si>
  <si>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</si>
  <si>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</si>
  <si>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</si>
  <si>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</si>
  <si>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</si>
  <si>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</si>
  <si>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</si>
  <si>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</si>
  <si>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</si>
  <si>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</si>
  <si>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</si>
  <si>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</si>
  <si>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</si>
  <si>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</si>
  <si>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</si>
  <si>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</si>
  <si>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</si>
  <si>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</si>
  <si>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</si>
  <si>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</si>
  <si>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</si>
  <si>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</si>
  <si>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</si>
  <si>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</si>
  <si>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</si>
  <si>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</si>
  <si>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</si>
  <si>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</si>
  <si>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</si>
  <si>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</si>
  <si>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</si>
  <si>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</si>
  <si>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</si>
  <si>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</si>
  <si>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</si>
  <si>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</si>
  <si>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</si>
  <si>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</si>
  <si>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</si>
  <si>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</si>
  <si>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</si>
  <si>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</si>
  <si>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</si>
  <si>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</si>
  <si>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</si>
  <si>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</si>
  <si>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</si>
  <si>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</si>
  <si>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</si>
  <si>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</si>
  <si>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</si>
  <si>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</si>
  <si>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</si>
  <si>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</si>
  <si>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</si>
  <si>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</si>
  <si>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</si>
  <si>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</si>
  <si>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</si>
  <si>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</si>
  <si>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</si>
  <si>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</si>
  <si>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</si>
  <si>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</si>
  <si>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</si>
  <si>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</si>
  <si>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</si>
  <si>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</si>
  <si>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</si>
  <si>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</si>
  <si>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</si>
  <si>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</si>
  <si>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</si>
  <si>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</si>
  <si>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</si>
  <si>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</si>
  <si>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</si>
  <si>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</si>
  <si>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</si>
  <si>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</si>
  <si>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</si>
  <si>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</si>
  <si>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</si>
  <si>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</si>
  <si>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</si>
  <si>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</si>
  <si>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</si>
  <si>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</si>
  <si>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</si>
  <si>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</si>
  <si>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</si>
  <si>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</si>
  <si>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</si>
  <si>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</si>
  <si>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</si>
  <si>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</si>
  <si>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</si>
  <si>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</si>
  <si>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</si>
  <si>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</si>
  <si>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</si>
  <si>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</si>
  <si>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</si>
  <si>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</si>
  <si>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</si>
  <si>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</si>
  <si>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</si>
  <si>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</si>
  <si>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</si>
  <si>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</si>
  <si>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</si>
  <si>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</si>
  <si>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</si>
  <si>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</si>
  <si>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</si>
  <si>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</si>
  <si>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</si>
  <si>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</si>
  <si>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</si>
  <si>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</si>
  <si>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</si>
  <si>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</si>
  <si>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</si>
  <si>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</si>
  <si>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</si>
  <si>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</si>
  <si>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</si>
  <si>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</si>
  <si>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</si>
  <si>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</si>
  <si>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</si>
  <si>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</si>
  <si>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</si>
  <si>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</si>
  <si>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</si>
  <si>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</si>
  <si>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</si>
  <si>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</si>
  <si>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</si>
  <si>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</si>
  <si>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</si>
  <si>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</si>
  <si>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</si>
  <si>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</si>
  <si>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</si>
  <si>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</si>
  <si>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</si>
  <si>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</si>
  <si>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</si>
  <si>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</si>
  <si>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</si>
  <si>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</si>
  <si>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</si>
  <si>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</si>
  <si>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</si>
  <si>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</si>
  <si>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</si>
  <si>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</si>
  <si>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</si>
  <si>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</si>
  <si>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</si>
  <si>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</si>
  <si>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</si>
  <si>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</si>
  <si>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</si>
  <si>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</si>
  <si>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</si>
  <si>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</si>
  <si>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</si>
  <si>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</si>
  <si>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</si>
  <si>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</si>
  <si>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</si>
  <si>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</si>
  <si>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</si>
  <si>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</si>
  <si>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</si>
  <si>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</si>
  <si>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</si>
  <si>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</si>
  <si>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</si>
  <si>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</si>
  <si>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</si>
  <si>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</si>
  <si>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</si>
  <si>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</si>
  <si>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</si>
  <si>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</si>
  <si>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</si>
  <si>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</si>
  <si>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</si>
  <si>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</si>
  <si>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</si>
  <si>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</si>
  <si>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</si>
  <si>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</si>
  <si>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</si>
  <si>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</si>
  <si>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</si>
  <si>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</si>
  <si>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</si>
  <si>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</si>
  <si>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</si>
  <si>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</si>
  <si>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</si>
  <si>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</si>
  <si>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</si>
  <si>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</si>
  <si>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</si>
  <si>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</si>
  <si>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</si>
  <si>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</si>
  <si>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</si>
  <si>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</si>
  <si>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</si>
  <si>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</si>
  <si>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</si>
  <si>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</si>
  <si>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</si>
  <si>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</si>
  <si>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</si>
  <si>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</si>
  <si>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</si>
  <si>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</si>
  <si>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</si>
  <si>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</si>
  <si>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</si>
  <si>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</si>
  <si>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</si>
  <si>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</si>
  <si>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</si>
  <si>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</si>
  <si>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</si>
  <si>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</si>
  <si>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</si>
  <si>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</si>
  <si>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</si>
  <si>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</si>
  <si>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</si>
  <si>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</si>
  <si>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</si>
  <si>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</si>
  <si>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</si>
  <si>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</si>
  <si>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</si>
  <si>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</si>
  <si>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</si>
  <si>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</si>
  <si>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</si>
  <si>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</si>
  <si>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</si>
  <si>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</si>
  <si>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</si>
  <si>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</si>
  <si>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</si>
  <si>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</si>
  <si>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</si>
  <si>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</si>
  <si>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</si>
  <si>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</si>
  <si>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</si>
  <si>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</si>
  <si>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</si>
  <si>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</si>
  <si>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</si>
  <si>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</si>
  <si>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</si>
  <si>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</si>
  <si>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</si>
  <si>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</si>
  <si>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</si>
  <si>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</si>
  <si>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</si>
  <si>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</si>
  <si>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</si>
  <si>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</si>
  <si>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</si>
  <si>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</si>
  <si>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</si>
  <si>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</si>
  <si>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</si>
  <si>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</si>
  <si>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</si>
  <si>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</si>
  <si>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</si>
  <si>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</si>
  <si>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</si>
  <si>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</si>
  <si>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</si>
  <si>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</si>
  <si>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</si>
  <si>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</si>
  <si>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</si>
  <si>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</si>
  <si>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</si>
  <si>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</si>
  <si>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</si>
  <si>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</si>
  <si>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</si>
  <si>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</si>
  <si>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</si>
  <si>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</si>
  <si>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</si>
  <si>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</si>
  <si>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</si>
  <si>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</si>
  <si>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</si>
  <si>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</si>
  <si>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</si>
  <si>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</si>
  <si>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</si>
  <si>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</si>
  <si>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</si>
  <si>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</si>
  <si>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</si>
  <si>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</si>
  <si>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</si>
  <si>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</si>
  <si>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</si>
  <si>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</si>
  <si>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</si>
  <si>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</si>
  <si>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</si>
  <si>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</si>
  <si>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</si>
  <si>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</si>
  <si>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</si>
  <si>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</si>
  <si>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</si>
  <si>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</si>
  <si>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</si>
  <si>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</si>
  <si>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</si>
  <si>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</si>
  <si>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</si>
  <si>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</si>
  <si>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</si>
  <si>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</si>
  <si>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</si>
  <si>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</si>
  <si>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</si>
  <si>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</si>
  <si>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</si>
  <si>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</si>
  <si>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</si>
  <si>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</si>
  <si>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</si>
  <si>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</si>
  <si>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</si>
  <si>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</si>
  <si>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</si>
  <si>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</si>
  <si>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</si>
  <si>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</si>
  <si>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</si>
  <si>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</si>
  <si>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</si>
  <si>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</si>
  <si>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</si>
  <si>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</si>
  <si>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</si>
  <si>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</si>
  <si>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</si>
  <si>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</si>
  <si>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</si>
  <si>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</si>
  <si>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</si>
  <si>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</si>
  <si>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</si>
  <si>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</si>
  <si>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</si>
  <si>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</si>
  <si>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</si>
  <si>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</si>
  <si>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</si>
  <si>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</si>
  <si>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</si>
  <si>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</si>
  <si>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</si>
  <si>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</si>
  <si>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</si>
  <si>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</si>
  <si>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</si>
  <si>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</si>
  <si>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</si>
  <si>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</si>
  <si>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</si>
  <si>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</si>
  <si>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</si>
  <si>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</si>
  <si>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</si>
  <si>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</si>
  <si>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</si>
  <si>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</si>
  <si>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</si>
  <si>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</si>
  <si>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</si>
  <si>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</si>
  <si>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</si>
  <si>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</si>
  <si>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</si>
  <si>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</si>
  <si>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</si>
  <si>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</si>
  <si>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</si>
  <si>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</si>
  <si>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</si>
  <si>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</si>
  <si>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</si>
  <si>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</si>
  <si>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</si>
  <si>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</si>
  <si>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</si>
  <si>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</si>
  <si>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</si>
  <si>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</si>
  <si>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</si>
  <si>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</si>
  <si>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</si>
  <si>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</si>
  <si>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</si>
  <si>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</si>
  <si>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</si>
  <si>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</si>
  <si>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</si>
  <si>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</si>
  <si>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</si>
  <si>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</si>
  <si>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</si>
  <si>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</si>
  <si>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</si>
  <si>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</si>
  <si>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</si>
  <si>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</si>
  <si>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</si>
  <si>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</si>
  <si>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</si>
  <si>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</si>
  <si>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</si>
  <si>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</si>
  <si>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</si>
  <si>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</si>
  <si>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</si>
  <si>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</si>
  <si>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</si>
  <si>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</si>
  <si>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</si>
  <si>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</si>
  <si>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</si>
  <si>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</si>
  <si>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</si>
  <si>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</si>
  <si>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</si>
  <si>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</si>
  <si>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</si>
  <si>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</si>
  <si>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</si>
  <si>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</si>
  <si>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</si>
  <si>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</si>
  <si>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</si>
  <si>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</si>
  <si>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</si>
  <si>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</si>
  <si>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</si>
  <si>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</si>
  <si>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</si>
  <si>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</si>
  <si>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</si>
  <si>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</si>
  <si>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</si>
  <si>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</si>
  <si>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</si>
  <si>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</si>
  <si>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</si>
  <si>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</si>
  <si>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</si>
  <si>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</si>
  <si>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</si>
  <si>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</si>
  <si>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</si>
  <si>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</si>
  <si>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</si>
  <si>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</si>
  <si>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</si>
  <si>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</si>
  <si>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</si>
  <si>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</si>
  <si>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</si>
  <si>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</si>
  <si>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</si>
  <si>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</si>
  <si>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</si>
  <si>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</si>
  <si>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</si>
  <si>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</si>
  <si>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</si>
  <si>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</si>
  <si>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</si>
  <si>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</si>
  <si>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</si>
  <si>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</si>
  <si>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</si>
  <si>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</si>
  <si>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</si>
  <si>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</si>
  <si>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</si>
  <si>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</si>
  <si>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</si>
  <si>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</si>
  <si>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</si>
  <si>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</si>
  <si>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</si>
  <si>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</si>
  <si>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</si>
  <si>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</si>
  <si>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</si>
  <si>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</si>
  <si>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</si>
  <si>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</si>
  <si>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</si>
  <si>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</si>
  <si>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</si>
  <si>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</si>
  <si>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</si>
  <si>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</si>
  <si>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</si>
  <si>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</si>
  <si>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</si>
  <si>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</si>
  <si>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</si>
  <si>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</si>
  <si>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</si>
  <si>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</si>
  <si>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</si>
  <si>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</si>
  <si>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</si>
  <si>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</si>
  <si>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</si>
  <si>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</si>
  <si>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</si>
  <si>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</si>
  <si>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</si>
  <si>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</si>
  <si>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</si>
  <si>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</si>
  <si>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</si>
  <si>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</si>
  <si>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</si>
  <si>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</si>
  <si>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</si>
  <si>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</si>
  <si>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</si>
  <si>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</si>
  <si>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</si>
  <si>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</si>
  <si>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</si>
  <si>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</si>
  <si>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</si>
  <si>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</si>
  <si>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</si>
  <si>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</si>
  <si>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</si>
  <si>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</si>
  <si>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</si>
  <si>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</si>
  <si>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</si>
  <si>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</si>
  <si>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</si>
  <si>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</si>
  <si>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</si>
  <si>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</si>
  <si>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</si>
  <si>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</si>
  <si>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</si>
  <si>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</si>
  <si>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</si>
  <si>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</si>
  <si>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</si>
  <si>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</si>
  <si>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</si>
  <si>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</si>
  <si>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</si>
  <si>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</si>
  <si>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</si>
  <si>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</si>
  <si>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</si>
  <si>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</si>
  <si>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</si>
  <si>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</si>
  <si>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</si>
  <si>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</si>
  <si>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</si>
  <si>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</si>
  <si>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</si>
  <si>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</si>
  <si>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</si>
  <si>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</si>
  <si>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</si>
  <si>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</si>
  <si>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</si>
  <si>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</si>
  <si>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</si>
  <si>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</si>
  <si>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</si>
  <si>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</si>
  <si>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</si>
  <si>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</si>
  <si>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</si>
  <si>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</si>
  <si>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</si>
  <si>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</si>
  <si>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</si>
  <si>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</si>
  <si>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</si>
  <si>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</si>
  <si>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</si>
  <si>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</si>
  <si>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</si>
  <si>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</si>
  <si>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</si>
  <si>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</si>
  <si>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</si>
  <si>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</si>
  <si>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</si>
  <si>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</si>
  <si>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</si>
  <si>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</si>
  <si>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</si>
  <si>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</si>
  <si>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</si>
  <si>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</si>
  <si>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</si>
  <si>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</si>
  <si>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</si>
  <si>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</si>
  <si>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</si>
  <si>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</si>
  <si>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</si>
  <si>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</si>
  <si>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</si>
  <si>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</si>
  <si>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</si>
  <si>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</si>
  <si>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</si>
  <si>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</si>
  <si>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</si>
  <si>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</si>
  <si>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</si>
  <si>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</si>
  <si>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</si>
  <si>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</si>
  <si>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</si>
  <si>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</si>
  <si>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</si>
  <si>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</si>
  <si>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</si>
  <si>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</si>
  <si>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</si>
  <si>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</si>
  <si>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</si>
  <si>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</si>
  <si>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</si>
  <si>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</si>
  <si>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</si>
  <si>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</si>
  <si>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</si>
  <si>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</si>
  <si>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</si>
  <si>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</si>
  <si>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</si>
  <si>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</si>
  <si>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</si>
  <si>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</si>
  <si>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</si>
  <si>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</si>
  <si>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</si>
  <si>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</si>
  <si>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</si>
  <si>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</si>
  <si>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</si>
  <si>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</si>
  <si>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</si>
  <si>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</si>
  <si>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</si>
  <si>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</si>
  <si>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</si>
  <si>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</si>
  <si>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</si>
  <si>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</si>
  <si>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</si>
  <si>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</si>
  <si>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</si>
  <si>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</si>
  <si>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</si>
  <si>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</si>
  <si>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</si>
  <si>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</si>
  <si>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</si>
  <si>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</si>
  <si>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</si>
  <si>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</si>
  <si>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</si>
  <si>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</si>
  <si>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</si>
  <si>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</si>
  <si>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</si>
  <si>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</si>
  <si>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</si>
  <si>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</si>
  <si>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</si>
  <si>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</si>
  <si>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</si>
  <si>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</si>
  <si>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</si>
  <si>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</si>
  <si>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</si>
  <si>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</si>
  <si>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</si>
  <si>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</si>
  <si>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</si>
  <si>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</si>
  <si>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</si>
  <si>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</si>
  <si>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</si>
  <si>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</si>
  <si>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</si>
  <si>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</si>
  <si>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</si>
  <si>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</si>
  <si>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</si>
  <si>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</si>
  <si>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</si>
  <si>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</si>
  <si>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</si>
  <si>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</si>
  <si>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</si>
  <si>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</si>
  <si>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</si>
  <si>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</si>
  <si>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</si>
  <si>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</si>
  <si>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</si>
  <si>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</si>
  <si>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</si>
  <si>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</si>
  <si>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</si>
  <si>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</si>
  <si>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</si>
  <si>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</si>
  <si>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</si>
  <si>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</si>
  <si>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</si>
  <si>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</si>
  <si>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</si>
  <si>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</si>
  <si>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</si>
  <si>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</si>
  <si>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</si>
  <si>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</si>
  <si>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</si>
  <si>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</si>
  <si>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</si>
  <si>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</si>
  <si>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</si>
  <si>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</si>
  <si>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</si>
  <si>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</si>
  <si>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</si>
  <si>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</si>
  <si>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</si>
  <si>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</si>
  <si>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</si>
  <si>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</si>
  <si>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</si>
  <si>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</si>
  <si>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</si>
  <si>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</si>
  <si>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</si>
  <si>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</si>
  <si>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</si>
  <si>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</si>
  <si>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</si>
  <si>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</si>
  <si>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</si>
  <si>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</si>
  <si>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</si>
  <si>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4455 Morena  Blvd Suite #107</t>
  </si>
  <si>
    <t>CA</t>
  </si>
  <si>
    <t>4455 Morena Blvd Suite #107</t>
  </si>
  <si>
    <t>Paul Salib</t>
  </si>
  <si>
    <t>212-776-1914</t>
  </si>
  <si>
    <t>psalib@crpaffordable.com</t>
  </si>
  <si>
    <t>Administrative GP</t>
  </si>
  <si>
    <t>CRP Affordable Housing and Community Development CA LLC</t>
  </si>
  <si>
    <t>San Diego, CA, 92117</t>
  </si>
  <si>
    <t>Hobson Bernardino + Davis LLP</t>
  </si>
  <si>
    <t>6060 Center Drive, Floor 10</t>
  </si>
  <si>
    <t>Los Angeles, CA 90045</t>
  </si>
  <si>
    <t>Jason Hobson</t>
  </si>
  <si>
    <t>213-235-9191</t>
  </si>
  <si>
    <t>jhobson@hbdlegal.com</t>
  </si>
  <si>
    <t>Partner Energy</t>
  </si>
  <si>
    <t>680 Knox St., Suite 150</t>
  </si>
  <si>
    <t>Los Angeles, CA 90502</t>
  </si>
  <si>
    <t>Kelsey Shaw</t>
  </si>
  <si>
    <t>310-356-2199</t>
  </si>
  <si>
    <t>760-355-675</t>
  </si>
  <si>
    <t>kshaw@ptrenergy.com</t>
  </si>
  <si>
    <t>Novogradac and Company LLP</t>
  </si>
  <si>
    <t>6700 Antioch Road, Suite 450</t>
  </si>
  <si>
    <t>Merriam, KS 66204</t>
  </si>
  <si>
    <t>Rachel Denton</t>
  </si>
  <si>
    <t>Other (Specify below)</t>
  </si>
  <si>
    <t>Same - No changes</t>
  </si>
  <si>
    <t>Federal LIHTC Equity</t>
  </si>
  <si>
    <t>Fixed</t>
  </si>
  <si>
    <t>300 South Grand Avenue</t>
  </si>
  <si>
    <t>Hao Li</t>
  </si>
  <si>
    <t>213-239-1914</t>
  </si>
  <si>
    <t>Tax Exempt Bonds/Private</t>
  </si>
  <si>
    <t>(503) 459-8741</t>
  </si>
  <si>
    <t>Tax Equity/Private</t>
  </si>
  <si>
    <t>Private</t>
  </si>
  <si>
    <t>Other: (Issuer Fee+0ther)</t>
  </si>
  <si>
    <t>Hyder Property Management Company</t>
  </si>
  <si>
    <t>(913) 312-4612</t>
  </si>
  <si>
    <t>rachel.denton@novoco.com</t>
  </si>
  <si>
    <t>Hyder Property Management Professionals, LLC</t>
  </si>
  <si>
    <t>1649 Capalina Road, Suite 500</t>
  </si>
  <si>
    <t>San Marcos, CA 92069</t>
  </si>
  <si>
    <t>Gary Da Prato</t>
  </si>
  <si>
    <t>(760) 591-9737</t>
  </si>
  <si>
    <t>(760) 591-9784</t>
  </si>
  <si>
    <t>gdaprato@hyderco.com</t>
  </si>
  <si>
    <t>Citibank Construction Loan(Tax Exempt)</t>
  </si>
  <si>
    <t>Citibank Construction Loan(Taxable)</t>
  </si>
  <si>
    <t>((Phone, Supplies, Credit Check)</t>
  </si>
  <si>
    <t>(Taxes and Benefits)</t>
  </si>
  <si>
    <t>(supplies+misc)</t>
  </si>
  <si>
    <t>84 Hours/Year</t>
  </si>
  <si>
    <t>State LIHTC Equity</t>
  </si>
  <si>
    <t>(Recycled Bonds)</t>
  </si>
  <si>
    <t>Citibank Construction Loan(Recycled)</t>
  </si>
  <si>
    <t>Deferred Costs</t>
  </si>
  <si>
    <t>$500M</t>
  </si>
  <si>
    <t>Seth Sterneck</t>
  </si>
  <si>
    <t>ssterneck@crpaffordable.com</t>
  </si>
  <si>
    <t>(516) 375-1402</t>
  </si>
  <si>
    <t>CRP Affordable Housing and Community Development LLC</t>
  </si>
  <si>
    <t>Developer</t>
  </si>
  <si>
    <t xml:space="preserve">Recycled Private Activity Bonds </t>
  </si>
  <si>
    <t>Windsor Residences</t>
  </si>
  <si>
    <t>Windsor</t>
  </si>
  <si>
    <t>Managing GP</t>
  </si>
  <si>
    <t xml:space="preserve">Ironcore Construction, Inc </t>
  </si>
  <si>
    <t>Other: (Payment &amp; Performance bonds)</t>
  </si>
  <si>
    <t>Other: (Lender inspection Fee)</t>
  </si>
  <si>
    <t>Other: (Final Cost Audit Expense)</t>
  </si>
  <si>
    <t>Town of Windsor</t>
  </si>
  <si>
    <t>Box 100</t>
  </si>
  <si>
    <t xml:space="preserve">Windsor </t>
  </si>
  <si>
    <t>(707) 838-1000</t>
  </si>
  <si>
    <t>(707) 838-7349</t>
  </si>
  <si>
    <t>mmullan@townofwindsor.com</t>
  </si>
  <si>
    <t>Town Manager</t>
  </si>
  <si>
    <t>CRP Windsor Residences AGP LLC</t>
  </si>
  <si>
    <t>Central Valley Coalition for Affordable Housing</t>
  </si>
  <si>
    <t>3351 "M" Street, Suite #100</t>
  </si>
  <si>
    <t>Christina Alley</t>
  </si>
  <si>
    <t>(209) 388-0782</t>
  </si>
  <si>
    <t>chris@centralvalleycoalition.com</t>
  </si>
  <si>
    <t>Hedgpeth Architects</t>
  </si>
  <si>
    <t>2321 Bethards Drive</t>
  </si>
  <si>
    <t>Santa Rosa, CA 95405</t>
  </si>
  <si>
    <t>Warren Hedgpeth</t>
  </si>
  <si>
    <t>707-523-7010</t>
  </si>
  <si>
    <t>warren@hedgpetharchitects.com</t>
  </si>
  <si>
    <t>4455 Morena Blvd Suite #109</t>
  </si>
  <si>
    <t>San Diego, CA 92117</t>
  </si>
  <si>
    <t>Elliot Jones</t>
  </si>
  <si>
    <t>619-889-9583</t>
  </si>
  <si>
    <t>ejones@ironcocrecc.com</t>
  </si>
  <si>
    <t>California Municipal Finance Authority</t>
  </si>
  <si>
    <t>2111 Palomar Airport Rd #320</t>
  </si>
  <si>
    <t>Carlsbad, CA 92011</t>
  </si>
  <si>
    <t>Anthony Stubbs</t>
  </si>
  <si>
    <t>(760) 930-1333</t>
  </si>
  <si>
    <t>astubbs@cmfa-ca.com</t>
  </si>
  <si>
    <t>Sonoma County Housing Authority</t>
  </si>
  <si>
    <t>163-171-031 &amp; 163-171-032 and 163-171-037</t>
  </si>
  <si>
    <t>CRP Windsor Residences LP (to be formed)</t>
  </si>
  <si>
    <t>J. Matthew Mullan</t>
  </si>
  <si>
    <t>High Resource</t>
  </si>
  <si>
    <t>Chartrand Family Living Trust &amp; Merner Land Company</t>
  </si>
  <si>
    <t>Patricia Van Eugers &amp; Carl J Merner</t>
  </si>
  <si>
    <t>Trustee</t>
  </si>
  <si>
    <t>Garden style type V- A construction.</t>
  </si>
  <si>
    <t>Provided</t>
  </si>
  <si>
    <t>Not Applicable</t>
  </si>
  <si>
    <t>Citibank Permanent Loan</t>
  </si>
  <si>
    <t>AFR</t>
  </si>
  <si>
    <t>6011 Shiloh Rd and 6035-6050 Old Redwood Highway</t>
  </si>
  <si>
    <t>Hunt Capital Partners</t>
  </si>
  <si>
    <t>15910 Ventura Blvd, Suite 1100</t>
  </si>
  <si>
    <t>Encino, CA, 91436</t>
  </si>
  <si>
    <t>Dana Mayo</t>
  </si>
  <si>
    <t>818.380.6130</t>
  </si>
  <si>
    <t>dana.mayo@huntcompanies.com</t>
  </si>
  <si>
    <t>Encino</t>
  </si>
  <si>
    <t>App Fees, Late, etc.</t>
  </si>
  <si>
    <t>Other: (3rd Party Construction Mgmt.+predevelopment loan interest)</t>
  </si>
  <si>
    <t>Other: Misc Report &amp; Consultant Fees</t>
  </si>
  <si>
    <t>60 hours/week</t>
  </si>
  <si>
    <t>Other: Replacement Reserve</t>
  </si>
  <si>
    <t>Thomas Stagg</t>
  </si>
  <si>
    <t>thomas.stagg@novoco.com</t>
  </si>
  <si>
    <t>40%/60% Average Income</t>
  </si>
  <si>
    <t>TBD</t>
  </si>
  <si>
    <t xml:space="preserve"> Yes, 20% of units to be affordable or in lieu fee</t>
  </si>
  <si>
    <t>BC - Maximum 4 stories. MDR – Maximum 3 stories and 35’</t>
  </si>
  <si>
    <t xml:space="preserve"> 2 stalls per unit</t>
  </si>
  <si>
    <t xml:space="preserve">6011 - Boulevard Mixed Use. 6035/6050 - Medium Density Residential.   </t>
  </si>
  <si>
    <t>6011 - Boulevard Commercial: Max Density = 162 units.
6035/6050 - Medium Density Residential: Max. Density = 24 units.</t>
  </si>
  <si>
    <t>12/7/2020 &amp; 11/7/20210</t>
  </si>
  <si>
    <t xml:space="preserve">415.519.1234 </t>
  </si>
  <si>
    <t>1300 114th Avenue SE, Suite 240</t>
  </si>
  <si>
    <t>Bellevue, WA 98004</t>
  </si>
  <si>
    <t>Project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</si>
</sst>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5" fillId="5" borderId="14" xfId="0" applyFont="1" applyFill="1" applyBorder="1" applyProtection="1">
      <protection locked="0"/>
    </xf>
    <xf numFmtId="49" fontId="15" fillId="5" borderId="14" xfId="0" applyNumberFormat="1" applyFont="1" applyFill="1" applyBorder="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4" fontId="10" fillId="5" borderId="3" xfId="0" applyNumberFormat="1" applyFont="1" applyFill="1" applyBorder="1" applyAlignment="1" applyProtection="1">
      <alignment horizontal="center"/>
      <protection locked="0"/>
    </xf>
    <xf numFmtId="14" fontId="10" fillId="5" borderId="4" xfId="0" applyNumberFormat="1" applyFont="1" applyFill="1" applyBorder="1" applyAlignment="1" applyProtection="1">
      <alignment horizontal="center"/>
      <protection locked="0"/>
    </xf>
    <xf numFmtId="14" fontId="10" fillId="5" borderId="5" xfId="0" applyNumberFormat="1" applyFon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0" fillId="5" borderId="3" xfId="0" applyFont="1" applyFill="1" applyBorder="1" applyAlignment="1" applyProtection="1">
      <alignment horizontal="left" wrapText="1"/>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3" fontId="19" fillId="5" borderId="11" xfId="0" applyNumberFormat="1"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3" fontId="19" fillId="0" borderId="11" xfId="0" applyNumberFormat="1" applyFont="1" applyFill="1" applyBorder="1" applyAlignment="1" applyProtection="1">
      <alignment horizontal="center"/>
    </xf>
    <xf numFmtId="166" fontId="19" fillId="5" borderId="4" xfId="0" applyNumberFormat="1" applyFont="1" applyFill="1" applyBorder="1" applyAlignment="1" applyProtection="1">
      <alignment horizontal="left"/>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68" fontId="0" fillId="5" borderId="6" xfId="0" applyNumberFormat="1" applyFill="1" applyBorder="1" applyAlignment="1" applyProtection="1">
      <alignment horizontal="right"/>
      <protection locked="0"/>
    </xf>
    <xf numFmtId="0" fontId="19" fillId="5" borderId="4"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44" borderId="4" xfId="0" applyFont="1" applyFill="1" applyBorder="1" applyAlignment="1" applyProtection="1">
      <alignment horizontal="left" wrapText="1"/>
      <protection locked="0"/>
    </xf>
    <xf numFmtId="0" fontId="0" fillId="0" borderId="6" xfId="0"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168" fontId="19" fillId="0" borderId="11" xfId="0" applyNumberFormat="1" applyFont="1" applyFill="1" applyBorder="1" applyAlignment="1" applyProtection="1">
      <alignment horizontal="center"/>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10" fillId="0" borderId="0" xfId="0" applyFont="1" applyAlignment="1" applyProtection="1">
      <alignment horizontal="left"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5"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0" borderId="6" xfId="0" applyFill="1" applyBorder="1" applyAlignment="1" applyProtection="1">
      <alignment horizontal="left"/>
    </xf>
    <xf numFmtId="0" fontId="10" fillId="5" borderId="6" xfId="0"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5" borderId="11" xfId="0" applyNumberFormat="1" applyFill="1" applyBorder="1" applyAlignment="1" applyProtection="1">
      <alignment horizontal="right"/>
      <protection locked="0"/>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9" fillId="46" borderId="11" xfId="0" applyFont="1" applyFill="1" applyBorder="1" applyAlignment="1" applyProtection="1">
      <alignment horizontal="center"/>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9" xfId="0" applyFont="1" applyFill="1" applyBorder="1" applyAlignment="1" applyProtection="1">
      <alignment horizontal="center"/>
    </xf>
    <xf numFmtId="0" fontId="19" fillId="0" borderId="4"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0"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166" fontId="19"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6" fontId="10" fillId="5" borderId="6" xfId="0" applyNumberFormat="1" applyFont="1" applyFill="1" applyBorder="1" applyAlignment="1" applyProtection="1">
      <alignment horizontal="left" wrapText="1"/>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4" xfId="271" applyNumberFormat="1"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0" fillId="5" borderId="6" xfId="1193"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2" fontId="0" fillId="5" borderId="6" xfId="0" applyNumberFormat="1" applyFill="1" applyBorder="1" applyAlignment="1" applyProtection="1">
      <alignment horizontal="center"/>
      <protection locked="0"/>
    </xf>
    <xf numFmtId="168" fontId="10"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1" fontId="19" fillId="5" borderId="6" xfId="0" applyNumberFormat="1"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71" fontId="10" fillId="0" borderId="0" xfId="543" applyNumberFormat="1" applyFont="1" applyBorder="1" applyAlignment="1" applyProtection="1">
      <alignment horizontal="right"/>
    </xf>
    <xf numFmtId="0" fontId="10" fillId="0" borderId="0" xfId="543" applyFont="1" applyFill="1" applyAlignment="1" applyProtection="1">
      <alignment horizontal="center"/>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5" borderId="6" xfId="271" applyFont="1" applyFill="1" applyBorder="1" applyAlignment="1" applyProtection="1">
      <protection locked="0"/>
    </xf>
    <xf numFmtId="0" fontId="17" fillId="0" borderId="12" xfId="0" applyFont="1" applyBorder="1" applyAlignment="1" applyProtection="1">
      <alignment horizontal="center" wrapText="1"/>
    </xf>
    <xf numFmtId="0" fontId="17" fillId="0" borderId="10" xfId="0" applyFont="1" applyBorder="1" applyAlignment="1" applyProtection="1">
      <alignment horizontal="center" wrapText="1"/>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6" xfId="0" applyFont="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9" fillId="2" borderId="11" xfId="0" applyFont="1" applyFill="1" applyBorder="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0" borderId="11"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7" fillId="5" borderId="11" xfId="0"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3" xfId="0" applyFont="1" applyBorder="1" applyAlignment="1" applyProtection="1">
      <alignment horizontal="left"/>
    </xf>
    <xf numFmtId="9" fontId="0" fillId="5" borderId="3" xfId="0" applyNumberFormat="1" applyFill="1" applyBorder="1" applyAlignment="1" applyProtection="1">
      <alignment horizontal="right"/>
      <protection locked="0"/>
    </xf>
    <xf numFmtId="0" fontId="16" fillId="3" borderId="0"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0" borderId="11" xfId="543" applyNumberFormat="1"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9" fillId="0" borderId="11" xfId="0" applyFont="1" applyBorder="1" applyAlignment="1" applyProtection="1">
      <alignment horizontal="center"/>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1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8.bin"/><Relationship Id="rId4" Type="http://schemas.openxmlformats.org/officeDocument/2006/relationships/hyperlink" Target="https://www.treasurer.ca.gov/ctcac/forms/reserve-certification.doc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60" t="s">
        <v>584</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8"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8"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2" t="s">
        <v>1394</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7"/>
    </row>
    <row r="8" spans="1:38">
      <c r="A8" s="328"/>
      <c r="B8" s="326"/>
      <c r="C8" s="327"/>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7"/>
    </row>
    <row r="9" spans="1:38">
      <c r="A9" s="328"/>
      <c r="B9" s="326"/>
      <c r="C9" s="327"/>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2" t="s">
        <v>1401</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7"/>
    </row>
    <row r="12" spans="1:38">
      <c r="A12" s="328"/>
      <c r="B12" s="326"/>
      <c r="C12" s="327"/>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7"/>
    </row>
    <row r="13" spans="1:38" s="718" customFormat="1">
      <c r="A13" s="328"/>
      <c r="B13" s="326"/>
      <c r="C13" s="327"/>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7"/>
    </row>
    <row r="14" spans="1:38" s="718" customFormat="1" ht="13.2" customHeight="1">
      <c r="A14" s="328"/>
      <c r="B14" s="326"/>
      <c r="C14" s="327"/>
      <c r="E14" s="1848" t="s">
        <v>2182</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7"/>
    </row>
    <row r="15" spans="1:38" s="718" customFormat="1" ht="13.2"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7"/>
    </row>
    <row r="16" spans="1:38" s="718" customFormat="1">
      <c r="A16" s="328"/>
      <c r="B16" s="326"/>
      <c r="C16" s="327"/>
      <c r="D16" s="747"/>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8" t="s">
        <v>1531</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8"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8" customFormat="1" ht="13.2"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8"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8"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8"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8"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8" customFormat="1" ht="11.8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8" customFormat="1" ht="13.2" customHeight="1">
      <c r="A28" s="328"/>
      <c r="B28" s="326"/>
      <c r="C28" s="327"/>
      <c r="E28" s="1848" t="s">
        <v>2183</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8" customFormat="1" ht="13.2"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8" customFormat="1">
      <c r="A30" s="328"/>
      <c r="B30" s="326"/>
      <c r="C30" s="327"/>
      <c r="D30" s="747"/>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0" t="s">
        <v>1402</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8" customFormat="1">
      <c r="A33" s="328"/>
      <c r="B33" s="326"/>
      <c r="C33" s="327"/>
      <c r="D33" s="747"/>
      <c r="E33" s="1849" t="s">
        <v>1461</v>
      </c>
      <c r="F33" s="1849"/>
      <c r="G33" s="1849"/>
      <c r="H33" s="1849"/>
      <c r="I33" s="1849"/>
      <c r="J33" s="1849"/>
      <c r="K33" s="1849"/>
      <c r="L33" s="1849"/>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326"/>
    </row>
    <row r="34" spans="1:38">
      <c r="A34" s="149"/>
      <c r="C34" s="5"/>
    </row>
    <row r="35" spans="1:38">
      <c r="A35" s="149"/>
      <c r="D35" s="1863" t="s">
        <v>1389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2" customHeight="1">
      <c r="A42" s="149"/>
      <c r="B42"/>
      <c r="C42" s="5"/>
      <c r="D42" s="149"/>
      <c r="E42" s="149" t="s">
        <v>691</v>
      </c>
      <c r="F42" s="1848" t="s">
        <v>1363</v>
      </c>
    </row>
    <row r="43" spans="1:38" s="1848" customFormat="1" ht="13.2"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55" t="s">
        <v>1483</v>
      </c>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row>
    <row r="46" spans="1:38" s="771" customFormat="1">
      <c r="A46" s="149"/>
      <c r="B46" s="718"/>
      <c r="C46" s="5"/>
      <c r="D46" s="149"/>
      <c r="E46" s="149"/>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row>
    <row r="47" spans="1:38" s="771" customFormat="1" ht="13.2" customHeight="1">
      <c r="A47" s="149"/>
      <c r="B47" s="718"/>
      <c r="C47" s="5"/>
      <c r="D47" s="149"/>
      <c r="E47" s="149"/>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8" t="s">
        <v>1484</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3" t="s">
        <v>1403</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2"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611</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543</v>
      </c>
      <c r="G59" s="1854" t="s">
        <v>1485</v>
      </c>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row>
    <row r="60" spans="1:38" s="2" customFormat="1">
      <c r="A60" s="328"/>
      <c r="B60" s="326"/>
      <c r="C60" s="327"/>
      <c r="D60" s="327"/>
      <c r="E60" s="328"/>
      <c r="F60" s="332"/>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8" t="s">
        <v>1365</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2" customHeight="1">
      <c r="A69" s="149"/>
      <c r="C69" s="5"/>
      <c r="D69" s="149"/>
      <c r="E69" s="149"/>
      <c r="F69" s="9" t="s">
        <v>543</v>
      </c>
      <c r="G69" s="1848" t="s">
        <v>1366</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8" t="s">
        <v>1367</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543</v>
      </c>
      <c r="G74" s="1848" t="s">
        <v>1368</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1369</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8"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1370</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1" t="s">
        <v>1371</v>
      </c>
      <c r="H90" s="1851"/>
      <c r="I90" s="1851"/>
      <c r="J90" s="1851"/>
      <c r="K90" s="1851"/>
      <c r="L90" s="1851"/>
      <c r="M90" s="1851"/>
      <c r="N90" s="1851"/>
      <c r="O90" s="1851"/>
      <c r="P90" s="1851"/>
      <c r="Q90" s="1851"/>
      <c r="R90" s="1851"/>
      <c r="S90" s="1851"/>
      <c r="T90" s="1851"/>
      <c r="U90" s="1851"/>
      <c r="V90" s="1851"/>
      <c r="W90" s="1851"/>
      <c r="X90" s="1851"/>
      <c r="Y90" s="1851"/>
      <c r="Z90" s="1851"/>
      <c r="AA90" s="1851"/>
      <c r="AB90" s="1851"/>
      <c r="AC90" s="1851"/>
      <c r="AD90" s="1851"/>
      <c r="AE90" s="1851"/>
      <c r="AF90" s="1851"/>
      <c r="AG90" s="1851"/>
      <c r="AH90" s="1851"/>
      <c r="AI90" s="1851"/>
      <c r="AJ90" s="1851"/>
      <c r="AK90" s="1851"/>
    </row>
    <row r="91" spans="1:37" s="718" customFormat="1">
      <c r="A91" s="149"/>
      <c r="C91" s="5"/>
      <c r="D91" s="149"/>
      <c r="E91" s="149"/>
      <c r="G91" s="1851"/>
      <c r="H91" s="1851"/>
      <c r="I91" s="1851"/>
      <c r="J91" s="1851"/>
      <c r="K91" s="1851"/>
      <c r="L91" s="1851"/>
      <c r="M91" s="1851"/>
      <c r="N91" s="1851"/>
      <c r="O91" s="1851"/>
      <c r="P91" s="1851"/>
      <c r="Q91" s="1851"/>
      <c r="R91" s="1851"/>
      <c r="S91" s="1851"/>
      <c r="T91" s="1851"/>
      <c r="U91" s="1851"/>
      <c r="V91" s="1851"/>
      <c r="W91" s="1851"/>
      <c r="X91" s="1851"/>
      <c r="Y91" s="1851"/>
      <c r="Z91" s="1851"/>
      <c r="AA91" s="1851"/>
      <c r="AB91" s="1851"/>
      <c r="AC91" s="1851"/>
      <c r="AD91" s="1851"/>
      <c r="AE91" s="1851"/>
      <c r="AF91" s="1851"/>
      <c r="AG91" s="1851"/>
      <c r="AH91" s="1851"/>
      <c r="AI91" s="1851"/>
      <c r="AJ91" s="1851"/>
      <c r="AK91" s="1851"/>
    </row>
    <row r="92" spans="1:37">
      <c r="A92" s="149"/>
      <c r="C92" s="5"/>
      <c r="D92" s="149"/>
      <c r="E92" s="149"/>
      <c r="G92" s="1851"/>
      <c r="H92" s="1851"/>
      <c r="I92" s="1851"/>
      <c r="J92" s="1851"/>
      <c r="K92" s="1851"/>
      <c r="L92" s="1851"/>
      <c r="M92" s="1851"/>
      <c r="N92" s="1851"/>
      <c r="O92" s="1851"/>
      <c r="P92" s="1851"/>
      <c r="Q92" s="1851"/>
      <c r="R92" s="1851"/>
      <c r="S92" s="1851"/>
      <c r="T92" s="1851"/>
      <c r="U92" s="1851"/>
      <c r="V92" s="1851"/>
      <c r="W92" s="1851"/>
      <c r="X92" s="1851"/>
      <c r="Y92" s="1851"/>
      <c r="Z92" s="1851"/>
      <c r="AA92" s="1851"/>
      <c r="AB92" s="1851"/>
      <c r="AC92" s="1851"/>
      <c r="AD92" s="1851"/>
      <c r="AE92" s="1851"/>
      <c r="AF92" s="1851"/>
      <c r="AG92" s="1851"/>
      <c r="AH92" s="1851"/>
      <c r="AI92" s="1851"/>
      <c r="AJ92" s="1851"/>
      <c r="AK92" s="1851"/>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1372</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1373</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2"/>
      <c r="E100" s="1852" t="s">
        <v>1374</v>
      </c>
      <c r="F100" s="1852"/>
      <c r="G100" s="1852"/>
      <c r="H100" s="1852"/>
      <c r="I100" s="1852"/>
      <c r="J100" s="1852"/>
      <c r="K100" s="1852"/>
      <c r="L100" s="1852"/>
      <c r="M100" s="1852"/>
      <c r="N100" s="1852"/>
      <c r="O100" s="1852"/>
      <c r="P100" s="1852"/>
      <c r="Q100" s="1852"/>
      <c r="R100" s="1852"/>
      <c r="S100" s="1852"/>
      <c r="T100" s="1852"/>
      <c r="U100" s="1852"/>
      <c r="V100" s="1852"/>
      <c r="W100" s="1852"/>
      <c r="X100" s="1852"/>
      <c r="Y100" s="1852"/>
      <c r="Z100" s="1852"/>
      <c r="AA100" s="1852"/>
      <c r="AB100" s="1852"/>
      <c r="AC100" s="1852"/>
      <c r="AD100" s="1852"/>
      <c r="AE100" s="1852"/>
      <c r="AF100" s="1852"/>
      <c r="AG100" s="1852"/>
      <c r="AH100" s="1852"/>
      <c r="AI100" s="1852"/>
      <c r="AJ100" s="1852"/>
      <c r="AK100" s="1852"/>
      <c r="AL100" s="2"/>
    </row>
    <row r="101" spans="1:38">
      <c r="A101" s="149"/>
      <c r="D101" s="153"/>
      <c r="E101" s="1852"/>
      <c r="F101" s="1852"/>
      <c r="G101" s="1852"/>
      <c r="H101" s="1852"/>
      <c r="I101" s="1852"/>
      <c r="J101" s="1852"/>
      <c r="K101" s="1852"/>
      <c r="L101" s="1852"/>
      <c r="M101" s="1852"/>
      <c r="N101" s="1852"/>
      <c r="O101" s="1852"/>
      <c r="P101" s="1852"/>
      <c r="Q101" s="1852"/>
      <c r="R101" s="1852"/>
      <c r="S101" s="1852"/>
      <c r="T101" s="1852"/>
      <c r="U101" s="1852"/>
      <c r="V101" s="1852"/>
      <c r="W101" s="1852"/>
      <c r="X101" s="1852"/>
      <c r="Y101" s="1852"/>
      <c r="Z101" s="1852"/>
      <c r="AA101" s="1852"/>
      <c r="AB101" s="1852"/>
      <c r="AC101" s="1852"/>
      <c r="AD101" s="1852"/>
      <c r="AE101" s="1852"/>
      <c r="AF101" s="1852"/>
      <c r="AG101" s="1852"/>
      <c r="AH101" s="1852"/>
      <c r="AI101" s="1852"/>
      <c r="AJ101" s="1852"/>
      <c r="AK101" s="185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8" t="s">
        <v>1375</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8" t="s">
        <v>1350</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2" customHeight="1">
      <c r="B343" s="5"/>
      <c r="E343" s="1853" t="s">
        <v>1457</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48" t="s">
        <v>1459</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8"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8"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8"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8" customFormat="1">
      <c r="B352" s="5"/>
      <c r="E352" s="6" t="s">
        <v>118</v>
      </c>
      <c r="F352" s="1848" t="s">
        <v>1458</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8"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8"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7" t="s">
        <v>1448</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1499</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0" t="s">
        <v>1511</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8"/>
    </row>
    <row r="389" spans="1:38" s="718" customFormat="1">
      <c r="A389" s="678"/>
      <c r="B389" s="183"/>
      <c r="C389" s="678"/>
      <c r="D389" s="678"/>
      <c r="E389" s="679"/>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8"/>
    </row>
    <row r="390" spans="1:38" s="718" customFormat="1">
      <c r="A390" s="678"/>
      <c r="B390" s="183"/>
      <c r="C390" s="678"/>
      <c r="D390" s="678"/>
      <c r="E390" s="679"/>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3" sqref="K33"/>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51" t="s">
        <v>1892</v>
      </c>
      <c r="B1" s="3251"/>
      <c r="C1" s="3251"/>
      <c r="D1" s="3251"/>
      <c r="E1" s="3251"/>
      <c r="F1" s="3251"/>
      <c r="G1" s="3251"/>
      <c r="H1" s="3251"/>
      <c r="I1" s="3251"/>
    </row>
    <row r="2" spans="1:11">
      <c r="A2" s="1338"/>
      <c r="B2" s="1338"/>
      <c r="E2" s="1339"/>
      <c r="I2" s="1341"/>
      <c r="K2" s="1342"/>
    </row>
    <row r="3" spans="1:11">
      <c r="A3" s="1343" t="s">
        <v>1599</v>
      </c>
      <c r="B3" s="1343"/>
      <c r="C3" s="1336" t="s">
        <v>2194</v>
      </c>
      <c r="E3" s="1844">
        <f>ROUND(Application!AM564+'Basis &amp; Credits'!AB77,0)</f>
        <v>41758085</v>
      </c>
      <c r="F3" s="1344"/>
      <c r="K3" s="1415"/>
    </row>
    <row r="4" spans="1:11" s="1345" customFormat="1" ht="15" customHeight="1">
      <c r="C4" s="1345" t="s">
        <v>1893</v>
      </c>
      <c r="E4" s="1421">
        <f>Application!AD1037</f>
        <v>0.3</v>
      </c>
      <c r="F4" s="1346"/>
      <c r="H4" s="1347"/>
      <c r="K4" s="1634"/>
    </row>
    <row r="5" spans="1:11" s="1348" customFormat="1" ht="15" customHeight="1">
      <c r="A5" s="3252"/>
      <c r="B5" s="3252"/>
      <c r="D5" s="1348" t="s">
        <v>2195</v>
      </c>
      <c r="E5" s="1349">
        <f>IF('CDLAC Points System'!C274="Yes",0.2,0)</f>
        <v>0.2</v>
      </c>
      <c r="F5" s="1346"/>
      <c r="H5" s="1347"/>
      <c r="K5" s="1635"/>
    </row>
    <row r="6" spans="1:11" s="1348" customFormat="1" ht="15" customHeight="1">
      <c r="A6" s="1498"/>
      <c r="B6" s="1498"/>
      <c r="D6" s="1348" t="s">
        <v>2196</v>
      </c>
      <c r="E6" s="1349" t="str">
        <f>IF(AND((Application!W464&gt;=(0.5*Application!G753)),Application!D210="Special Needs",(OR(Application!M354="Yes",Application!M355="Yes"))),0.2," ")</f>
        <v xml:space="preserve"> </v>
      </c>
      <c r="F6" s="1346"/>
      <c r="H6" s="1347"/>
      <c r="K6" s="1635"/>
    </row>
    <row r="7" spans="1:11">
      <c r="A7" s="1338"/>
      <c r="B7" s="1338"/>
      <c r="C7" s="1336" t="s">
        <v>2198</v>
      </c>
      <c r="E7" s="1419">
        <f>E3-(E3*(E4+(MAX(E5,E6))))</f>
        <v>20879042.5</v>
      </c>
      <c r="F7" s="1344"/>
      <c r="I7" s="1350"/>
      <c r="K7" s="1636"/>
    </row>
    <row r="8" spans="1:11">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c r="A11" s="1338"/>
      <c r="B11" s="1338"/>
      <c r="C11" s="1362" t="s">
        <v>1900</v>
      </c>
      <c r="D11" s="1362"/>
      <c r="E11" s="1416">
        <f>Application!BN635+Application!BN644+Application!CS658</f>
        <v>0</v>
      </c>
      <c r="G11" s="1363">
        <v>0.9</v>
      </c>
      <c r="H11" s="1364"/>
      <c r="I11" s="1365">
        <f>E11*G11</f>
        <v>0</v>
      </c>
      <c r="J11" s="1356"/>
      <c r="K11" s="1360"/>
    </row>
    <row r="12" spans="1:11">
      <c r="A12" s="1338"/>
      <c r="B12" s="1338"/>
      <c r="C12" s="1356" t="s">
        <v>1901</v>
      </c>
      <c r="D12" s="1356"/>
      <c r="E12" s="1416">
        <f>Application!BS635+Application!BS644+Application!CX658</f>
        <v>0</v>
      </c>
      <c r="G12" s="1363">
        <v>1</v>
      </c>
      <c r="H12" s="1364"/>
      <c r="I12" s="1365">
        <f>E12*G12</f>
        <v>0</v>
      </c>
      <c r="J12" s="1356"/>
    </row>
    <row r="13" spans="1:11">
      <c r="A13" s="1338"/>
      <c r="B13" s="1338"/>
      <c r="C13" s="1356" t="s">
        <v>1902</v>
      </c>
      <c r="D13" s="1356"/>
      <c r="E13" s="1416">
        <f>Application!BX635+Application!BX644+Application!DC658</f>
        <v>6</v>
      </c>
      <c r="G13" s="1363">
        <v>1.25</v>
      </c>
      <c r="H13" s="1364"/>
      <c r="I13" s="1365">
        <f>E13*G13</f>
        <v>7.5</v>
      </c>
      <c r="J13" s="1356"/>
    </row>
    <row r="14" spans="1:11">
      <c r="A14" s="1338"/>
      <c r="B14" s="1338"/>
      <c r="C14" s="1356" t="s">
        <v>1903</v>
      </c>
      <c r="D14" s="1356"/>
      <c r="E14" s="1416">
        <f>Application!CC635+Application!CC644+Application!DH658</f>
        <v>128</v>
      </c>
      <c r="G14" s="1363">
        <f>1.5+0.25*0</f>
        <v>1.5</v>
      </c>
      <c r="H14" s="1364"/>
      <c r="I14" s="1365">
        <f>IF(E14/E16&lt;=30%,E14*G14,TRUNC(0.3*E16)*G14+(E14-TRUNC(0.3*E16))*G13)</f>
        <v>170</v>
      </c>
      <c r="J14" s="1356"/>
    </row>
    <row r="15" spans="1:11">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134</v>
      </c>
      <c r="G16" s="1339"/>
      <c r="I16" s="1420">
        <f>SUM(I11:I15)</f>
        <v>177.5</v>
      </c>
    </row>
    <row r="17" spans="1:9">
      <c r="A17" s="1338"/>
      <c r="B17" s="1338"/>
      <c r="E17" s="1339"/>
      <c r="I17" s="1367"/>
    </row>
    <row r="18" spans="1:9">
      <c r="A18" s="1343" t="s">
        <v>1604</v>
      </c>
      <c r="B18" s="1343"/>
      <c r="C18" s="1368" t="s">
        <v>1905</v>
      </c>
      <c r="D18" s="1340"/>
      <c r="E18" s="1369">
        <f>E7/I16</f>
        <v>117628.40845070423</v>
      </c>
      <c r="F18" s="1370"/>
      <c r="G18" s="1371"/>
      <c r="H18" s="1372"/>
      <c r="I18" s="1367"/>
    </row>
    <row r="21" spans="1:9" ht="14.25" customHeight="1">
      <c r="A21" s="3253" t="s">
        <v>2193</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100000000000001" customHeight="1">
      <c r="A26" s="1336" t="s">
        <v>2197</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5" zoomScaleNormal="100" zoomScaleSheetLayoutView="100" workbookViewId="0">
      <selection activeCell="AB71" sqref="AB71:AF71"/>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296" t="s">
        <v>1533</v>
      </c>
      <c r="B1" s="3296"/>
      <c r="C1" s="3296"/>
      <c r="D1" s="3296"/>
      <c r="E1" s="3296"/>
      <c r="F1" s="3296"/>
      <c r="G1" s="3296"/>
      <c r="H1" s="3296"/>
      <c r="I1" s="3296"/>
      <c r="J1" s="3296"/>
      <c r="K1" s="3296"/>
      <c r="L1" s="3296"/>
      <c r="M1" s="3296"/>
      <c r="N1" s="3296"/>
      <c r="O1" s="3296"/>
      <c r="P1" s="3296"/>
      <c r="Q1" s="3296"/>
      <c r="R1" s="3296"/>
      <c r="S1" s="3296"/>
      <c r="T1" s="3296"/>
      <c r="U1" s="3296"/>
      <c r="V1" s="3296"/>
      <c r="W1" s="3296"/>
      <c r="X1" s="3296"/>
      <c r="Y1" s="3296"/>
      <c r="Z1" s="3296"/>
      <c r="AA1" s="3296"/>
      <c r="AB1" s="3296"/>
      <c r="AC1" s="3296"/>
      <c r="AD1" s="3296"/>
      <c r="AE1" s="3296"/>
      <c r="AF1" s="3296"/>
      <c r="AG1" s="3296"/>
      <c r="AH1" s="3296"/>
      <c r="AI1" s="3296"/>
      <c r="AJ1" s="3296"/>
      <c r="AK1" s="3296"/>
      <c r="AL1" s="3296"/>
      <c r="AM1" s="3296"/>
      <c r="AN1" s="329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297"/>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29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8" t="str">
        <f xml:space="preserve"> IF(T25=100%,'Sources and Basis Breakdown'!G2,'Sources and Basis Breakdown'!F2)</f>
        <v>30% PVC for New Const/
Rehabilitation
DDA/QCT
Building(s)</v>
      </c>
      <c r="U7" s="3298"/>
      <c r="V7" s="3298"/>
      <c r="W7" s="3298"/>
      <c r="X7" s="3298"/>
      <c r="Y7" s="3298" t="str">
        <f>IF(T25=100%," ",'Sources and Basis Breakdown'!G2)</f>
        <v>30% PVC for New Const/
Rehabilitation
NON-DDA/
NON-QCT Building(s)</v>
      </c>
      <c r="Z7" s="3298"/>
      <c r="AA7" s="3298"/>
      <c r="AB7" s="3298"/>
      <c r="AC7" s="3298"/>
      <c r="AD7" s="3298" t="str">
        <f xml:space="preserve"> IF(T25=100%, 'Sources and Basis Breakdown'!J2,'Sources and Basis Breakdown'!I2)</f>
        <v>30% PVC for Acquisition
DDA/QCT Building(s)</v>
      </c>
      <c r="AE7" s="3298"/>
      <c r="AF7" s="3298"/>
      <c r="AG7" s="3298"/>
      <c r="AH7" s="3298"/>
      <c r="AI7" s="3298" t="str">
        <f>IF(T25=100%," ",'Sources and Basis Breakdown'!J2)</f>
        <v>30% PVC for Acquisition
NON-DDA/
NON-QCT Building(s)</v>
      </c>
      <c r="AJ7" s="3298"/>
      <c r="AK7" s="3298"/>
      <c r="AL7" s="3298"/>
      <c r="AM7" s="329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8"/>
      <c r="U8" s="3298"/>
      <c r="V8" s="3298"/>
      <c r="W8" s="3298"/>
      <c r="X8" s="3298"/>
      <c r="Y8" s="3298"/>
      <c r="Z8" s="3298"/>
      <c r="AA8" s="3298"/>
      <c r="AB8" s="3298"/>
      <c r="AC8" s="3298"/>
      <c r="AD8" s="3298"/>
      <c r="AE8" s="3298"/>
      <c r="AF8" s="3298"/>
      <c r="AG8" s="3298"/>
      <c r="AH8" s="3298"/>
      <c r="AI8" s="3298"/>
      <c r="AJ8" s="3298"/>
      <c r="AK8" s="3298"/>
      <c r="AL8" s="3298"/>
      <c r="AM8" s="329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98"/>
      <c r="U9" s="3298"/>
      <c r="V9" s="3298"/>
      <c r="W9" s="3298"/>
      <c r="X9" s="3298"/>
      <c r="Y9" s="3298"/>
      <c r="Z9" s="3298"/>
      <c r="AA9" s="3298"/>
      <c r="AB9" s="3298"/>
      <c r="AC9" s="3298"/>
      <c r="AD9" s="3298"/>
      <c r="AE9" s="3298"/>
      <c r="AF9" s="3298"/>
      <c r="AG9" s="3298"/>
      <c r="AH9" s="3298"/>
      <c r="AI9" s="3298"/>
      <c r="AJ9" s="3298"/>
      <c r="AK9" s="3298"/>
      <c r="AL9" s="3298"/>
      <c r="AM9" s="329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66" t="s">
        <v>395</v>
      </c>
      <c r="C11" s="3267"/>
      <c r="D11" s="3267"/>
      <c r="E11" s="3267"/>
      <c r="F11" s="3267"/>
      <c r="G11" s="3267"/>
      <c r="H11" s="3267"/>
      <c r="I11" s="3267"/>
      <c r="J11" s="3267"/>
      <c r="K11" s="3267"/>
      <c r="L11" s="3267"/>
      <c r="M11" s="3267"/>
      <c r="N11" s="3267"/>
      <c r="O11" s="3267"/>
      <c r="P11" s="3267"/>
      <c r="Q11" s="3267"/>
      <c r="R11" s="3267"/>
      <c r="S11" s="3268"/>
      <c r="T11" s="3299">
        <f>IF('Sources and Basis Breakdown'!F107=0,'Sources and Basis Breakdown'!E107,'Sources and Basis Breakdown'!F107)</f>
        <v>57435126</v>
      </c>
      <c r="U11" s="3300"/>
      <c r="V11" s="3300"/>
      <c r="W11" s="3300"/>
      <c r="X11" s="3300"/>
      <c r="Y11" s="3299">
        <f>IF(Y7=" ",0,IF('Sources and Basis Breakdown'!G107+'Sources and Basis Breakdown'!F107='Sources and Basis Breakdown'!E107,'Sources and Basis Breakdown'!G107,0))</f>
        <v>0</v>
      </c>
      <c r="Z11" s="3300"/>
      <c r="AA11" s="3300"/>
      <c r="AB11" s="3300"/>
      <c r="AC11" s="3300"/>
      <c r="AD11" s="3300">
        <f>IF('Sources and Basis Breakdown'!I107=0,'Sources and Basis Breakdown'!H107,'Sources and Basis Breakdown'!I107)</f>
        <v>0</v>
      </c>
      <c r="AE11" s="3300"/>
      <c r="AF11" s="3300"/>
      <c r="AG11" s="3300"/>
      <c r="AH11" s="3300"/>
      <c r="AI11" s="3300">
        <f>IF(Y7=" ",0,IF('Sources and Basis Breakdown'!I107+'Sources and Basis Breakdown'!J107='Sources and Basis Breakdown'!H107,'Sources and Basis Breakdown'!J107,0))</f>
        <v>0</v>
      </c>
      <c r="AJ11" s="3300"/>
      <c r="AK11" s="3300"/>
      <c r="AL11" s="3300"/>
      <c r="AM11" s="330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291" t="s">
        <v>531</v>
      </c>
      <c r="C12" s="3292"/>
      <c r="D12" s="3292"/>
      <c r="E12" s="3292"/>
      <c r="F12" s="3292"/>
      <c r="G12" s="3292"/>
      <c r="H12" s="3292"/>
      <c r="I12" s="3292"/>
      <c r="J12" s="3292"/>
      <c r="K12" s="3292"/>
      <c r="L12" s="3292"/>
      <c r="M12" s="3292"/>
      <c r="N12" s="3292"/>
      <c r="O12" s="3292"/>
      <c r="P12" s="3292"/>
      <c r="Q12" s="3292"/>
      <c r="R12" s="3292"/>
      <c r="S12" s="3293"/>
      <c r="T12" s="3254"/>
      <c r="U12" s="3255"/>
      <c r="V12" s="3255"/>
      <c r="W12" s="3255"/>
      <c r="X12" s="3256"/>
      <c r="Y12" s="3254"/>
      <c r="Z12" s="3255"/>
      <c r="AA12" s="3255"/>
      <c r="AB12" s="3255"/>
      <c r="AC12" s="3256"/>
      <c r="AD12" s="3254"/>
      <c r="AE12" s="3255"/>
      <c r="AF12" s="3255"/>
      <c r="AG12" s="3255"/>
      <c r="AH12" s="3256"/>
      <c r="AI12" s="3254"/>
      <c r="AJ12" s="3255"/>
      <c r="AK12" s="3255"/>
      <c r="AL12" s="3255"/>
      <c r="AM12" s="325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294" t="s">
        <v>532</v>
      </c>
      <c r="D13" s="3294"/>
      <c r="E13" s="3294"/>
      <c r="F13" s="3294"/>
      <c r="G13" s="3294"/>
      <c r="H13" s="3294"/>
      <c r="I13" s="3294"/>
      <c r="J13" s="3294"/>
      <c r="K13" s="3294"/>
      <c r="L13" s="3294"/>
      <c r="M13" s="3294"/>
      <c r="N13" s="3294"/>
      <c r="O13" s="3294"/>
      <c r="P13" s="3294"/>
      <c r="Q13" s="3294"/>
      <c r="R13" s="3294"/>
      <c r="S13" s="3295"/>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294" t="s">
        <v>533</v>
      </c>
      <c r="D14" s="3294"/>
      <c r="E14" s="3294"/>
      <c r="F14" s="3294"/>
      <c r="G14" s="3294"/>
      <c r="H14" s="3294"/>
      <c r="I14" s="3294"/>
      <c r="J14" s="3294"/>
      <c r="K14" s="3294"/>
      <c r="L14" s="3294"/>
      <c r="M14" s="3294"/>
      <c r="N14" s="3294"/>
      <c r="O14" s="3294"/>
      <c r="P14" s="3294"/>
      <c r="Q14" s="3294"/>
      <c r="R14" s="3294"/>
      <c r="S14" s="3295"/>
      <c r="T14" s="3257"/>
      <c r="U14" s="3258"/>
      <c r="V14" s="3258"/>
      <c r="W14" s="3258"/>
      <c r="X14" s="3258"/>
      <c r="Y14" s="3257"/>
      <c r="Z14" s="3258"/>
      <c r="AA14" s="3258"/>
      <c r="AB14" s="3258"/>
      <c r="AC14" s="3258"/>
      <c r="AD14" s="3258"/>
      <c r="AE14" s="3258"/>
      <c r="AF14" s="3258"/>
      <c r="AG14" s="3258"/>
      <c r="AH14" s="3258"/>
      <c r="AI14" s="3258"/>
      <c r="AJ14" s="3258"/>
      <c r="AK14" s="3258"/>
      <c r="AL14" s="3258"/>
      <c r="AM14" s="325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294" t="s">
        <v>534</v>
      </c>
      <c r="D15" s="3294"/>
      <c r="E15" s="3294"/>
      <c r="F15" s="3294"/>
      <c r="G15" s="3294"/>
      <c r="H15" s="3294"/>
      <c r="I15" s="3294"/>
      <c r="J15" s="3294"/>
      <c r="K15" s="3294"/>
      <c r="L15" s="3294"/>
      <c r="M15" s="3294"/>
      <c r="N15" s="3294"/>
      <c r="O15" s="3294"/>
      <c r="P15" s="3294"/>
      <c r="Q15" s="3294"/>
      <c r="R15" s="3294"/>
      <c r="S15" s="3295"/>
      <c r="T15" s="3257"/>
      <c r="U15" s="3258"/>
      <c r="V15" s="3258"/>
      <c r="W15" s="3258"/>
      <c r="X15" s="3258"/>
      <c r="Y15" s="3257"/>
      <c r="Z15" s="3258"/>
      <c r="AA15" s="3258"/>
      <c r="AB15" s="3258"/>
      <c r="AC15" s="3258"/>
      <c r="AD15" s="3258"/>
      <c r="AE15" s="3258"/>
      <c r="AF15" s="3258"/>
      <c r="AG15" s="3258"/>
      <c r="AH15" s="3258"/>
      <c r="AI15" s="3258"/>
      <c r="AJ15" s="3258"/>
      <c r="AK15" s="3258"/>
      <c r="AL15" s="3258"/>
      <c r="AM15" s="325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294" t="s">
        <v>867</v>
      </c>
      <c r="D16" s="3294"/>
      <c r="E16" s="3294"/>
      <c r="F16" s="3294"/>
      <c r="G16" s="3294"/>
      <c r="H16" s="3294"/>
      <c r="I16" s="3294"/>
      <c r="J16" s="3294"/>
      <c r="K16" s="3294"/>
      <c r="L16" s="3294"/>
      <c r="M16" s="3294"/>
      <c r="N16" s="3294"/>
      <c r="O16" s="3294"/>
      <c r="P16" s="3294"/>
      <c r="Q16" s="3294"/>
      <c r="R16" s="3294"/>
      <c r="S16" s="3295"/>
      <c r="T16" s="3257"/>
      <c r="U16" s="3258"/>
      <c r="V16" s="3258"/>
      <c r="W16" s="3258"/>
      <c r="X16" s="3258"/>
      <c r="Y16" s="3257"/>
      <c r="Z16" s="3258"/>
      <c r="AA16" s="3258"/>
      <c r="AB16" s="3258"/>
      <c r="AC16" s="3258"/>
      <c r="AD16" s="3258"/>
      <c r="AE16" s="3258"/>
      <c r="AF16" s="3258"/>
      <c r="AG16" s="3258"/>
      <c r="AH16" s="3258"/>
      <c r="AI16" s="3258"/>
      <c r="AJ16" s="3258"/>
      <c r="AK16" s="3258"/>
      <c r="AL16" s="3258"/>
      <c r="AM16" s="325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294" t="s">
        <v>535</v>
      </c>
      <c r="D17" s="3294"/>
      <c r="E17" s="3294"/>
      <c r="F17" s="3294"/>
      <c r="G17" s="3294"/>
      <c r="H17" s="3294"/>
      <c r="I17" s="3294"/>
      <c r="J17" s="3294"/>
      <c r="K17" s="3294"/>
      <c r="L17" s="3294"/>
      <c r="M17" s="3294"/>
      <c r="N17" s="3294"/>
      <c r="O17" s="3294"/>
      <c r="P17" s="3294"/>
      <c r="Q17" s="3294"/>
      <c r="R17" s="3294"/>
      <c r="S17" s="3295"/>
      <c r="T17" s="3257"/>
      <c r="U17" s="3258"/>
      <c r="V17" s="3258"/>
      <c r="W17" s="3258"/>
      <c r="X17" s="3258"/>
      <c r="Y17" s="3257"/>
      <c r="Z17" s="3258"/>
      <c r="AA17" s="3258"/>
      <c r="AB17" s="3258"/>
      <c r="AC17" s="3258"/>
      <c r="AD17" s="3258"/>
      <c r="AE17" s="3258"/>
      <c r="AF17" s="3258"/>
      <c r="AG17" s="3258"/>
      <c r="AH17" s="3258"/>
      <c r="AI17" s="3258"/>
      <c r="AJ17" s="3258"/>
      <c r="AK17" s="3258"/>
      <c r="AL17" s="3258"/>
      <c r="AM17" s="325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289" t="s">
        <v>1042</v>
      </c>
      <c r="D18" s="3289"/>
      <c r="E18" s="3289"/>
      <c r="F18" s="3289"/>
      <c r="G18" s="3289"/>
      <c r="H18" s="3289"/>
      <c r="I18" s="3289"/>
      <c r="J18" s="3289"/>
      <c r="K18" s="3289"/>
      <c r="L18" s="3289"/>
      <c r="M18" s="3289"/>
      <c r="N18" s="3289"/>
      <c r="O18" s="3289"/>
      <c r="P18" s="3289"/>
      <c r="Q18" s="3289"/>
      <c r="R18" s="3289"/>
      <c r="S18" s="3290"/>
      <c r="T18" s="3257"/>
      <c r="U18" s="3258"/>
      <c r="V18" s="3258"/>
      <c r="W18" s="3258"/>
      <c r="X18" s="3258"/>
      <c r="Y18" s="3257"/>
      <c r="Z18" s="3258"/>
      <c r="AA18" s="3258"/>
      <c r="AB18" s="3258"/>
      <c r="AC18" s="3258"/>
      <c r="AD18" s="3258"/>
      <c r="AE18" s="3258"/>
      <c r="AF18" s="3258"/>
      <c r="AG18" s="3258"/>
      <c r="AH18" s="3258"/>
      <c r="AI18" s="3258"/>
      <c r="AJ18" s="3258"/>
      <c r="AK18" s="3258"/>
      <c r="AL18" s="3258"/>
      <c r="AM18" s="325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289" t="s">
        <v>1042</v>
      </c>
      <c r="D19" s="3289"/>
      <c r="E19" s="3289"/>
      <c r="F19" s="3289"/>
      <c r="G19" s="3289"/>
      <c r="H19" s="3289"/>
      <c r="I19" s="3289"/>
      <c r="J19" s="3289"/>
      <c r="K19" s="3289"/>
      <c r="L19" s="3289"/>
      <c r="M19" s="3289"/>
      <c r="N19" s="3289"/>
      <c r="O19" s="3289"/>
      <c r="P19" s="3289"/>
      <c r="Q19" s="3289"/>
      <c r="R19" s="3289"/>
      <c r="S19" s="3290"/>
      <c r="T19" s="3257"/>
      <c r="U19" s="3258"/>
      <c r="V19" s="3258"/>
      <c r="W19" s="3258"/>
      <c r="X19" s="3258"/>
      <c r="Y19" s="3257"/>
      <c r="Z19" s="3258"/>
      <c r="AA19" s="3258"/>
      <c r="AB19" s="3258"/>
      <c r="AC19" s="3258"/>
      <c r="AD19" s="3258"/>
      <c r="AE19" s="3258"/>
      <c r="AF19" s="3258"/>
      <c r="AG19" s="3258"/>
      <c r="AH19" s="3258"/>
      <c r="AI19" s="3258"/>
      <c r="AJ19" s="3258"/>
      <c r="AK19" s="3258"/>
      <c r="AL19" s="3258"/>
      <c r="AM19" s="325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66" t="s">
        <v>536</v>
      </c>
      <c r="C20" s="3267"/>
      <c r="D20" s="3267"/>
      <c r="E20" s="3267"/>
      <c r="F20" s="3267"/>
      <c r="G20" s="3267"/>
      <c r="H20" s="3267"/>
      <c r="I20" s="3267"/>
      <c r="J20" s="3267"/>
      <c r="K20" s="3267"/>
      <c r="L20" s="3267"/>
      <c r="M20" s="3267"/>
      <c r="N20" s="3267"/>
      <c r="O20" s="3267"/>
      <c r="P20" s="3267"/>
      <c r="Q20" s="3267"/>
      <c r="R20" s="3267"/>
      <c r="S20" s="3268"/>
      <c r="T20" s="3259">
        <f>SUM(T13:X19)</f>
        <v>0</v>
      </c>
      <c r="U20" s="3260"/>
      <c r="V20" s="3260"/>
      <c r="W20" s="3260"/>
      <c r="X20" s="3260"/>
      <c r="Y20" s="3259">
        <f>SUM(Y13:AC19)</f>
        <v>0</v>
      </c>
      <c r="Z20" s="3260"/>
      <c r="AA20" s="3260"/>
      <c r="AB20" s="3260"/>
      <c r="AC20" s="3260"/>
      <c r="AD20" s="3261">
        <f>SUM(AD13:AH19)</f>
        <v>0</v>
      </c>
      <c r="AE20" s="3262"/>
      <c r="AF20" s="3262"/>
      <c r="AG20" s="3262"/>
      <c r="AH20" s="3259"/>
      <c r="AI20" s="3261">
        <f>SUM(AI13:AM19)</f>
        <v>0</v>
      </c>
      <c r="AJ20" s="3262"/>
      <c r="AK20" s="3262"/>
      <c r="AL20" s="3262"/>
      <c r="AM20" s="325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66" t="s">
        <v>1504</v>
      </c>
      <c r="C21" s="3267"/>
      <c r="D21" s="3267"/>
      <c r="E21" s="3267"/>
      <c r="F21" s="3267"/>
      <c r="G21" s="3267"/>
      <c r="H21" s="3267"/>
      <c r="I21" s="3267"/>
      <c r="J21" s="3267"/>
      <c r="K21" s="3267"/>
      <c r="L21" s="3267"/>
      <c r="M21" s="3267"/>
      <c r="N21" s="3267"/>
      <c r="O21" s="3267"/>
      <c r="P21" s="3267"/>
      <c r="Q21" s="3267"/>
      <c r="R21" s="3267"/>
      <c r="S21" s="3268"/>
      <c r="T21" s="3257"/>
      <c r="U21" s="3258"/>
      <c r="V21" s="3258"/>
      <c r="W21" s="3258"/>
      <c r="X21" s="3258"/>
      <c r="Y21" s="3257"/>
      <c r="Z21" s="3258"/>
      <c r="AA21" s="3258"/>
      <c r="AB21" s="3258"/>
      <c r="AC21" s="3258"/>
      <c r="AD21" s="3254"/>
      <c r="AE21" s="3255"/>
      <c r="AF21" s="3255"/>
      <c r="AG21" s="3255"/>
      <c r="AH21" s="3256"/>
      <c r="AI21" s="3254"/>
      <c r="AJ21" s="3255"/>
      <c r="AK21" s="3255"/>
      <c r="AL21" s="3255"/>
      <c r="AM21" s="325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66" t="s">
        <v>537</v>
      </c>
      <c r="C22" s="3267"/>
      <c r="D22" s="3267"/>
      <c r="E22" s="3267"/>
      <c r="F22" s="3267"/>
      <c r="G22" s="3267"/>
      <c r="H22" s="3267"/>
      <c r="I22" s="3267"/>
      <c r="J22" s="3267"/>
      <c r="K22" s="3267"/>
      <c r="L22" s="3267"/>
      <c r="M22" s="3267"/>
      <c r="N22" s="3267"/>
      <c r="O22" s="3267"/>
      <c r="P22" s="3267"/>
      <c r="Q22" s="3267"/>
      <c r="R22" s="3267"/>
      <c r="S22" s="3268"/>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269" t="s">
        <v>538</v>
      </c>
      <c r="C23" s="3270"/>
      <c r="D23" s="3270"/>
      <c r="E23" s="3270"/>
      <c r="F23" s="3270"/>
      <c r="G23" s="3270"/>
      <c r="H23" s="3270"/>
      <c r="I23" s="3270"/>
      <c r="J23" s="3270"/>
      <c r="K23" s="3270"/>
      <c r="L23" s="3270"/>
      <c r="M23" s="3270"/>
      <c r="N23" s="3270"/>
      <c r="O23" s="3270"/>
      <c r="P23" s="3270"/>
      <c r="Q23" s="3270"/>
      <c r="R23" s="3270"/>
      <c r="S23" s="3271"/>
      <c r="T23" s="3259">
        <f>T11+T22</f>
        <v>57435126</v>
      </c>
      <c r="U23" s="3260"/>
      <c r="V23" s="3260"/>
      <c r="W23" s="3260"/>
      <c r="X23" s="3260"/>
      <c r="Y23" s="3259">
        <f>Y11+Y22</f>
        <v>0</v>
      </c>
      <c r="Z23" s="3260"/>
      <c r="AA23" s="3260"/>
      <c r="AB23" s="3260"/>
      <c r="AC23" s="3260"/>
      <c r="AD23" s="3259">
        <f>AD11+AD22</f>
        <v>0</v>
      </c>
      <c r="AE23" s="3260"/>
      <c r="AF23" s="3260"/>
      <c r="AG23" s="3260"/>
      <c r="AH23" s="3260"/>
      <c r="AI23" s="3259">
        <f>AI11+AI22</f>
        <v>0</v>
      </c>
      <c r="AJ23" s="3260"/>
      <c r="AK23" s="3260"/>
      <c r="AL23" s="3260"/>
      <c r="AM23" s="326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66" t="s">
        <v>1043</v>
      </c>
      <c r="C24" s="3267"/>
      <c r="D24" s="3267"/>
      <c r="E24" s="3267"/>
      <c r="F24" s="3267"/>
      <c r="G24" s="3267"/>
      <c r="H24" s="3267"/>
      <c r="I24" s="3267"/>
      <c r="J24" s="3267"/>
      <c r="K24" s="3267"/>
      <c r="L24" s="3267"/>
      <c r="M24" s="3267"/>
      <c r="N24" s="3267"/>
      <c r="O24" s="3267"/>
      <c r="P24" s="3267"/>
      <c r="Q24" s="3267"/>
      <c r="R24" s="3267"/>
      <c r="S24" s="3268"/>
      <c r="T24" s="3261">
        <f>Application!AJ1032</f>
        <v>104661328</v>
      </c>
      <c r="U24" s="3262"/>
      <c r="V24" s="3262"/>
      <c r="W24" s="3262"/>
      <c r="X24" s="3262"/>
      <c r="Y24" s="3262"/>
      <c r="Z24" s="3262"/>
      <c r="AA24" s="3262"/>
      <c r="AB24" s="3262"/>
      <c r="AC24" s="3262"/>
      <c r="AD24" s="3262"/>
      <c r="AE24" s="3262"/>
      <c r="AF24" s="3262"/>
      <c r="AG24" s="3262"/>
      <c r="AH24" s="3262"/>
      <c r="AI24" s="3262"/>
      <c r="AJ24" s="3262"/>
      <c r="AK24" s="3262"/>
      <c r="AL24" s="3262"/>
      <c r="AM24" s="325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273" t="s">
        <v>1505</v>
      </c>
      <c r="C25" s="3274"/>
      <c r="D25" s="3274"/>
      <c r="E25" s="3274"/>
      <c r="F25" s="3274"/>
      <c r="G25" s="3274"/>
      <c r="H25" s="3274"/>
      <c r="I25" s="3274"/>
      <c r="J25" s="3274"/>
      <c r="K25" s="3274"/>
      <c r="L25" s="3274"/>
      <c r="M25" s="3274"/>
      <c r="N25" s="3274"/>
      <c r="O25" s="3274"/>
      <c r="P25" s="3274"/>
      <c r="Q25" s="3274"/>
      <c r="R25" s="3274"/>
      <c r="S25" s="327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66" t="s">
        <v>539</v>
      </c>
      <c r="C26" s="3267"/>
      <c r="D26" s="3267"/>
      <c r="E26" s="3267"/>
      <c r="F26" s="3267"/>
      <c r="G26" s="3267"/>
      <c r="H26" s="3267"/>
      <c r="I26" s="3267"/>
      <c r="J26" s="3267"/>
      <c r="K26" s="3267"/>
      <c r="L26" s="3267"/>
      <c r="M26" s="3267"/>
      <c r="N26" s="3267"/>
      <c r="O26" s="3267"/>
      <c r="P26" s="3267"/>
      <c r="Q26" s="3267"/>
      <c r="R26" s="3267"/>
      <c r="S26" s="3268"/>
      <c r="T26" s="3310">
        <f>T23*T25</f>
        <v>74665663.799999997</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276" t="s">
        <v>449</v>
      </c>
      <c r="C27" s="3277"/>
      <c r="D27" s="3277"/>
      <c r="E27" s="3277"/>
      <c r="F27" s="3277"/>
      <c r="G27" s="3277"/>
      <c r="H27" s="3277"/>
      <c r="I27" s="3277"/>
      <c r="J27" s="3277"/>
      <c r="K27" s="3277"/>
      <c r="L27" s="3277"/>
      <c r="M27" s="3277"/>
      <c r="N27" s="3277"/>
      <c r="O27" s="3277"/>
      <c r="P27" s="3277"/>
      <c r="Q27" s="3277"/>
      <c r="R27" s="3277"/>
      <c r="S27" s="3278"/>
      <c r="T27" s="3287">
        <f>Application!$AG$444</f>
        <v>1</v>
      </c>
      <c r="U27" s="3288"/>
      <c r="V27" s="3288"/>
      <c r="W27" s="3288"/>
      <c r="X27" s="3288"/>
      <c r="Y27" s="3287">
        <f>Application!$AG$444</f>
        <v>1</v>
      </c>
      <c r="Z27" s="3288"/>
      <c r="AA27" s="3288"/>
      <c r="AB27" s="3288"/>
      <c r="AC27" s="3288"/>
      <c r="AD27" s="3287">
        <f>Application!$AG$444</f>
        <v>1</v>
      </c>
      <c r="AE27" s="3288"/>
      <c r="AF27" s="3288"/>
      <c r="AG27" s="3288"/>
      <c r="AH27" s="3288"/>
      <c r="AI27" s="3287">
        <f>Application!$AG$444</f>
        <v>1</v>
      </c>
      <c r="AJ27" s="3288"/>
      <c r="AK27" s="3288"/>
      <c r="AL27" s="3288"/>
      <c r="AM27" s="328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6" t="s">
        <v>540</v>
      </c>
      <c r="C28" s="3267"/>
      <c r="D28" s="3267"/>
      <c r="E28" s="3267"/>
      <c r="F28" s="3267"/>
      <c r="G28" s="3267"/>
      <c r="H28" s="3267"/>
      <c r="I28" s="3267"/>
      <c r="J28" s="3267"/>
      <c r="K28" s="3267"/>
      <c r="L28" s="3267"/>
      <c r="M28" s="3267"/>
      <c r="N28" s="3267"/>
      <c r="O28" s="3267"/>
      <c r="P28" s="3267"/>
      <c r="Q28" s="3267"/>
      <c r="R28" s="3267"/>
      <c r="S28" s="3268"/>
      <c r="T28" s="3279">
        <f>IF(ISERROR((T26*T27)),0,(T26*T27))</f>
        <v>74665663.799999997</v>
      </c>
      <c r="U28" s="3280"/>
      <c r="V28" s="3280"/>
      <c r="W28" s="3280"/>
      <c r="X28" s="3280"/>
      <c r="Y28" s="3279">
        <f>IF(ISERROR((Y26*Y27)),0,(Y26*Y27))</f>
        <v>0</v>
      </c>
      <c r="Z28" s="3280"/>
      <c r="AA28" s="3280"/>
      <c r="AB28" s="3280"/>
      <c r="AC28" s="3280"/>
      <c r="AD28" s="3279">
        <f>IF(ISERROR((AD26*AD27)),0,(AD26*AD27))</f>
        <v>0</v>
      </c>
      <c r="AE28" s="3280"/>
      <c r="AF28" s="3280"/>
      <c r="AG28" s="3280"/>
      <c r="AH28" s="3280"/>
      <c r="AI28" s="3279">
        <f>IF(ISERROR((AI26*AI27)),0,(AI26*AI27))</f>
        <v>0</v>
      </c>
      <c r="AJ28" s="3280"/>
      <c r="AK28" s="3280"/>
      <c r="AL28" s="3280"/>
      <c r="AM28" s="328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66" t="s">
        <v>557</v>
      </c>
      <c r="C29" s="3267"/>
      <c r="D29" s="3267"/>
      <c r="E29" s="3267"/>
      <c r="F29" s="3267"/>
      <c r="G29" s="3267"/>
      <c r="H29" s="3267"/>
      <c r="I29" s="3267"/>
      <c r="J29" s="3267"/>
      <c r="K29" s="3267"/>
      <c r="L29" s="3267"/>
      <c r="M29" s="3267"/>
      <c r="N29" s="3267"/>
      <c r="O29" s="3267"/>
      <c r="P29" s="3267"/>
      <c r="Q29" s="3267"/>
      <c r="R29" s="3267"/>
      <c r="S29" s="3268"/>
      <c r="T29" s="3261">
        <f>T28+Y28+AD28+AI28</f>
        <v>74665663.799999997</v>
      </c>
      <c r="U29" s="3262"/>
      <c r="V29" s="3262"/>
      <c r="W29" s="3262"/>
      <c r="X29" s="3262"/>
      <c r="Y29" s="3262"/>
      <c r="Z29" s="3262"/>
      <c r="AA29" s="3262"/>
      <c r="AB29" s="3262"/>
      <c r="AC29" s="3262"/>
      <c r="AD29" s="3262"/>
      <c r="AE29" s="3262"/>
      <c r="AF29" s="3262"/>
      <c r="AG29" s="3262"/>
      <c r="AH29" s="3262"/>
      <c r="AI29" s="3262"/>
      <c r="AJ29" s="3262"/>
      <c r="AK29" s="3262"/>
      <c r="AL29" s="3262"/>
      <c r="AM29" s="325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2" t="s">
        <v>1507</v>
      </c>
      <c r="C30" s="3272"/>
      <c r="D30" s="3272"/>
      <c r="E30" s="3272"/>
      <c r="F30" s="3272"/>
      <c r="G30" s="3272"/>
      <c r="H30" s="3272"/>
      <c r="I30" s="3272"/>
      <c r="J30" s="3272"/>
      <c r="K30" s="3272"/>
      <c r="L30" s="3272"/>
      <c r="M30" s="3272"/>
      <c r="N30" s="3272"/>
      <c r="O30" s="3272"/>
      <c r="P30" s="3272"/>
      <c r="Q30" s="3272"/>
      <c r="R30" s="3272"/>
      <c r="S30" s="3272"/>
      <c r="T30" s="3272"/>
      <c r="U30" s="3272"/>
      <c r="V30" s="3272"/>
      <c r="W30" s="3272"/>
      <c r="X30" s="3272"/>
      <c r="Y30" s="3272"/>
      <c r="Z30" s="3272"/>
      <c r="AA30" s="3272"/>
      <c r="AB30" s="3272"/>
      <c r="AC30" s="3272"/>
      <c r="AD30" s="3272"/>
      <c r="AE30" s="3272"/>
      <c r="AF30" s="3272"/>
      <c r="AG30" s="3272"/>
      <c r="AH30" s="3272"/>
      <c r="AI30" s="3272"/>
      <c r="AJ30" s="3272"/>
      <c r="AK30" s="3272"/>
      <c r="AL30" s="3272"/>
      <c r="AM30" s="327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2" t="s">
        <v>1506</v>
      </c>
      <c r="C31" s="3272"/>
      <c r="D31" s="3272"/>
      <c r="E31" s="3272"/>
      <c r="F31" s="3272"/>
      <c r="G31" s="3272"/>
      <c r="H31" s="3272"/>
      <c r="I31" s="3272"/>
      <c r="J31" s="3272"/>
      <c r="K31" s="3272"/>
      <c r="L31" s="3272"/>
      <c r="M31" s="3272"/>
      <c r="N31" s="3272"/>
      <c r="O31" s="3272"/>
      <c r="P31" s="3272"/>
      <c r="Q31" s="3272"/>
      <c r="R31" s="3272"/>
      <c r="S31" s="3272"/>
      <c r="T31" s="3272"/>
      <c r="U31" s="3272"/>
      <c r="V31" s="3272"/>
      <c r="W31" s="3272"/>
      <c r="X31" s="3272"/>
      <c r="Y31" s="3272"/>
      <c r="Z31" s="3272"/>
      <c r="AA31" s="3272"/>
      <c r="AB31" s="3272"/>
      <c r="AC31" s="3272"/>
      <c r="AD31" s="3272"/>
      <c r="AE31" s="3272"/>
      <c r="AF31" s="3272"/>
      <c r="AG31" s="3272"/>
      <c r="AH31" s="3272"/>
      <c r="AI31" s="3272"/>
      <c r="AJ31" s="3272"/>
      <c r="AK31" s="3272"/>
      <c r="AL31" s="3272"/>
      <c r="AM31" s="327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8" t="s">
        <v>1349</v>
      </c>
      <c r="Z35" s="3298"/>
      <c r="AA35" s="3298"/>
      <c r="AB35" s="3298"/>
      <c r="AC35" s="3298"/>
      <c r="AD35" s="3324" t="s">
        <v>382</v>
      </c>
      <c r="AE35" s="3324"/>
      <c r="AF35" s="3324"/>
      <c r="AG35" s="3324"/>
      <c r="AH35" s="3324"/>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8"/>
      <c r="Z36" s="3298"/>
      <c r="AA36" s="3298"/>
      <c r="AB36" s="3298"/>
      <c r="AC36" s="3298"/>
      <c r="AD36" s="3324"/>
      <c r="AE36" s="3324"/>
      <c r="AF36" s="3324"/>
      <c r="AG36" s="3324"/>
      <c r="AH36" s="3324"/>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8"/>
      <c r="Z37" s="3298"/>
      <c r="AA37" s="3298"/>
      <c r="AB37" s="3298"/>
      <c r="AC37" s="3298"/>
      <c r="AD37" s="3324"/>
      <c r="AE37" s="3324"/>
      <c r="AF37" s="3324"/>
      <c r="AG37" s="3324"/>
      <c r="AH37" s="3324"/>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6" t="s">
        <v>540</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60">
        <f>IF(T24&gt;=(T23+Y23+AD23+AI23),T28+Y28,0)</f>
        <v>74665663.799999997</v>
      </c>
      <c r="Z38" s="3260"/>
      <c r="AA38" s="3260"/>
      <c r="AB38" s="3260"/>
      <c r="AC38" s="3260"/>
      <c r="AD38" s="3260">
        <f>IF(T24&gt;=(T23+Y23+AD23+AI23),AD28+AI28,0)</f>
        <v>0</v>
      </c>
      <c r="AE38" s="3260"/>
      <c r="AF38" s="3260"/>
      <c r="AG38" s="3260"/>
      <c r="AH38" s="326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66" t="s">
        <v>2192</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325">
        <v>0.04</v>
      </c>
      <c r="Z39" s="3325"/>
      <c r="AA39" s="3325"/>
      <c r="AB39" s="3325"/>
      <c r="AC39" s="3325"/>
      <c r="AD39" s="3325">
        <v>0.04</v>
      </c>
      <c r="AE39" s="3325"/>
      <c r="AF39" s="3325"/>
      <c r="AG39" s="3325"/>
      <c r="AH39" s="332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6" t="s">
        <v>678</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60">
        <f>ROUND(Y38*Y39,0)</f>
        <v>2986627</v>
      </c>
      <c r="Z40" s="3260"/>
      <c r="AA40" s="3260"/>
      <c r="AB40" s="3260"/>
      <c r="AC40" s="3260"/>
      <c r="AD40" s="3259">
        <f>ROUND(AD38*AD39,0)</f>
        <v>0</v>
      </c>
      <c r="AE40" s="3260"/>
      <c r="AF40" s="3260"/>
      <c r="AG40" s="3260"/>
      <c r="AH40" s="326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66" t="s">
        <v>679</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281">
        <f>Y40+AD40</f>
        <v>2986627</v>
      </c>
      <c r="Z41" s="3282"/>
      <c r="AA41" s="3282"/>
      <c r="AB41" s="3282"/>
      <c r="AC41" s="3282"/>
      <c r="AD41" s="3282"/>
      <c r="AE41" s="3282"/>
      <c r="AF41" s="3282"/>
      <c r="AG41" s="3282"/>
      <c r="AH41" s="328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64" t="s">
        <v>1521</v>
      </c>
      <c r="B44" s="3264"/>
      <c r="C44" s="3264"/>
      <c r="D44" s="3264"/>
      <c r="E44" s="3264"/>
      <c r="F44" s="3264"/>
      <c r="G44" s="3264"/>
      <c r="H44" s="3264"/>
      <c r="I44" s="3264"/>
      <c r="J44" s="3264"/>
      <c r="K44" s="3264"/>
      <c r="L44" s="3264"/>
      <c r="M44" s="3264"/>
      <c r="N44" s="3264"/>
      <c r="O44" s="3264"/>
      <c r="P44" s="3264"/>
      <c r="Q44" s="3264"/>
      <c r="R44" s="3264"/>
      <c r="S44" s="3264"/>
      <c r="T44" s="3264"/>
      <c r="U44" s="3264"/>
      <c r="V44" s="3264"/>
      <c r="W44" s="3264"/>
      <c r="X44" s="3264"/>
      <c r="Y44" s="3264"/>
      <c r="Z44" s="3264"/>
      <c r="AA44" s="3264"/>
      <c r="AB44" s="3264"/>
      <c r="AC44" s="3264"/>
      <c r="AD44" s="3264"/>
      <c r="AE44" s="3264"/>
      <c r="AF44" s="3264"/>
      <c r="AG44" s="3264"/>
      <c r="AH44" s="3264"/>
      <c r="AI44" s="3264"/>
      <c r="AJ44" s="3264"/>
      <c r="AK44" s="3264"/>
      <c r="AL44" s="3264"/>
      <c r="AM44" s="3264"/>
      <c r="AN44" s="3264"/>
      <c r="AO44" s="3264"/>
      <c r="AP44" s="3264"/>
      <c r="AQ44" s="3264"/>
      <c r="AR44" s="3264"/>
      <c r="AS44" s="3264"/>
      <c r="AT44" s="3264"/>
      <c r="AU44" s="3264"/>
      <c r="AV44" s="3264"/>
      <c r="AW44" s="3264"/>
      <c r="AX44" s="3264"/>
      <c r="AY44" s="3264"/>
      <c r="AZ44" s="3264"/>
      <c r="BA44" s="3264"/>
      <c r="BB44" s="3264"/>
      <c r="BC44" s="3264"/>
      <c r="BD44" s="3264"/>
      <c r="BE44" s="3264"/>
      <c r="BF44" s="3264"/>
      <c r="BG44" s="3264"/>
      <c r="BH44" s="3264"/>
      <c r="BI44" s="3264"/>
      <c r="BJ44" s="3264"/>
      <c r="BK44" s="3264"/>
      <c r="BL44" s="3264"/>
      <c r="BM44" s="3264"/>
      <c r="BN44" s="3264"/>
      <c r="BO44" s="3264"/>
      <c r="BP44" s="3264"/>
      <c r="BQ44" s="3264"/>
      <c r="BR44" s="3264"/>
      <c r="BS44" s="3264"/>
      <c r="BT44" s="3264"/>
      <c r="BU44" s="3264"/>
      <c r="BV44" s="3264"/>
      <c r="BW44" s="3264"/>
      <c r="BX44" s="326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4">
        <f>'Sources and Uses Budget'!B105-'Sources and Uses Budget'!B15</f>
        <v>63896621.333333336</v>
      </c>
      <c r="AC47" s="3285"/>
      <c r="AD47" s="3285"/>
      <c r="AE47" s="3285"/>
      <c r="AF47" s="328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4">
        <f>Application!AO649-MIN('Sources and Uses Budget'!B15,Application!AG394)</f>
        <v>31295776.333333336</v>
      </c>
      <c r="AC48" s="3285"/>
      <c r="AD48" s="3285"/>
      <c r="AE48" s="3285"/>
      <c r="AF48" s="328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4">
        <f>AB47-AB48</f>
        <v>32600845</v>
      </c>
      <c r="AC49" s="3285"/>
      <c r="AD49" s="3285"/>
      <c r="AE49" s="3285"/>
      <c r="AF49" s="328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7">
        <f>0.86*0.999899909999999</f>
        <v>0.8599139225999991</v>
      </c>
      <c r="AC50" s="3318"/>
      <c r="AD50" s="3318"/>
      <c r="AE50" s="3318"/>
      <c r="AF50" s="331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0" t="s">
        <v>2439</v>
      </c>
      <c r="F51" s="3320"/>
      <c r="G51" s="3320"/>
      <c r="H51" s="3320"/>
      <c r="I51" s="3320"/>
      <c r="J51" s="3320"/>
      <c r="K51" s="3320"/>
      <c r="L51" s="3320"/>
      <c r="M51" s="3320"/>
      <c r="N51" s="3320"/>
      <c r="O51" s="3320"/>
      <c r="P51" s="3320"/>
      <c r="Q51" s="3320"/>
      <c r="R51" s="3320"/>
      <c r="S51" s="3320"/>
      <c r="T51" s="3320"/>
      <c r="U51" s="3320"/>
      <c r="V51" s="3320"/>
      <c r="W51" s="3320"/>
      <c r="X51" s="3320"/>
      <c r="Y51" s="3320"/>
      <c r="Z51" s="332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0"/>
      <c r="F52" s="3320"/>
      <c r="G52" s="3320"/>
      <c r="H52" s="3320"/>
      <c r="I52" s="3320"/>
      <c r="J52" s="3320"/>
      <c r="K52" s="3320"/>
      <c r="L52" s="3320"/>
      <c r="M52" s="3320"/>
      <c r="N52" s="3320"/>
      <c r="O52" s="3320"/>
      <c r="P52" s="3320"/>
      <c r="Q52" s="3320"/>
      <c r="R52" s="3320"/>
      <c r="S52" s="3320"/>
      <c r="T52" s="3320"/>
      <c r="U52" s="3320"/>
      <c r="V52" s="3320"/>
      <c r="W52" s="3320"/>
      <c r="X52" s="3320"/>
      <c r="Y52" s="3320"/>
      <c r="Z52" s="332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4">
        <f>ROUND(IF(ISERROR((AB49/AB50)),0,(AB49/AB50)),0)</f>
        <v>37911754</v>
      </c>
      <c r="AC54" s="3285"/>
      <c r="AD54" s="3285"/>
      <c r="AE54" s="3285"/>
      <c r="AF54" s="328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4">
        <f>(AB54/10)</f>
        <v>3791175.4</v>
      </c>
      <c r="AC55" s="3285"/>
      <c r="AD55" s="3285"/>
      <c r="AE55" s="3285"/>
      <c r="AF55" s="328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1">
        <f>(IF((Y41&lt;AB55),Y41,AB55))</f>
        <v>2986627</v>
      </c>
      <c r="AC56" s="3322"/>
      <c r="AD56" s="3322"/>
      <c r="AE56" s="3322"/>
      <c r="AF56" s="332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4">
        <f>ROUND((10*AB56*AB50),0)</f>
        <v>25682421</v>
      </c>
      <c r="AC57" s="3285"/>
      <c r="AD57" s="3285"/>
      <c r="AE57" s="3285"/>
      <c r="AF57" s="328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2">
        <f>AB49-AB57</f>
        <v>6918424</v>
      </c>
      <c r="AC59" s="3312"/>
      <c r="AD59" s="3312"/>
      <c r="AE59" s="3312"/>
      <c r="AF59" s="331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64" t="str">
        <f>IF(Application!AP204="yes","Farmworker State Credit", "State Credit" )</f>
        <v>State Credit</v>
      </c>
      <c r="B61" s="3264"/>
      <c r="C61" s="3264"/>
      <c r="D61" s="3264"/>
      <c r="E61" s="3264"/>
      <c r="F61" s="3264"/>
      <c r="G61" s="3264"/>
      <c r="H61" s="3264"/>
      <c r="I61" s="3264"/>
      <c r="J61" s="3264"/>
      <c r="K61" s="3264"/>
      <c r="L61" s="3264"/>
      <c r="M61" s="3264"/>
      <c r="N61" s="3264"/>
      <c r="O61" s="3264"/>
      <c r="P61" s="3264"/>
      <c r="Q61" s="3264"/>
      <c r="R61" s="3264"/>
      <c r="S61" s="3264"/>
      <c r="T61" s="3264"/>
      <c r="U61" s="3264"/>
      <c r="V61" s="3264"/>
      <c r="W61" s="3264"/>
      <c r="X61" s="3264"/>
      <c r="Y61" s="3264"/>
      <c r="Z61" s="3264"/>
      <c r="AA61" s="3264"/>
      <c r="AB61" s="3264"/>
      <c r="AC61" s="3264"/>
      <c r="AD61" s="3264"/>
      <c r="AE61" s="3264"/>
      <c r="AF61" s="3264"/>
      <c r="AG61" s="3264"/>
      <c r="AH61" s="3264"/>
      <c r="AI61" s="3264"/>
      <c r="AJ61" s="3264"/>
      <c r="AK61" s="3264"/>
      <c r="AL61" s="3264"/>
      <c r="AM61" s="3264"/>
      <c r="AN61" s="3264"/>
      <c r="AO61" s="3264"/>
      <c r="AP61" s="3264"/>
      <c r="AQ61" s="3264"/>
      <c r="AR61" s="3264"/>
      <c r="AS61" s="3264"/>
      <c r="AT61" s="3264"/>
      <c r="AU61" s="3264"/>
      <c r="AV61" s="3264"/>
      <c r="AW61" s="3264"/>
      <c r="AX61" s="3264"/>
      <c r="AY61" s="3264"/>
      <c r="AZ61" s="3264"/>
      <c r="BA61" s="3264"/>
      <c r="BB61" s="3264"/>
      <c r="BC61" s="3264"/>
      <c r="BD61" s="3264"/>
      <c r="BE61" s="3264"/>
      <c r="BF61" s="3264"/>
      <c r="BG61" s="3264"/>
      <c r="BH61" s="3264"/>
      <c r="BI61" s="3264"/>
      <c r="BJ61" s="3264"/>
      <c r="BK61" s="3264"/>
      <c r="BL61" s="3264"/>
      <c r="BM61" s="3264"/>
      <c r="BN61" s="3264"/>
      <c r="BO61" s="3264"/>
      <c r="BP61" s="3264"/>
      <c r="BQ61" s="3264"/>
      <c r="BR61" s="3264"/>
      <c r="BS61" s="3264"/>
      <c r="BT61" s="3264"/>
      <c r="BU61" s="3264"/>
      <c r="BV61" s="3264"/>
      <c r="BW61" s="3264"/>
      <c r="BX61" s="326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13" t="s">
        <v>1071</v>
      </c>
      <c r="Z63" s="3313"/>
      <c r="AA63" s="3313"/>
      <c r="AB63" s="3313"/>
      <c r="AC63" s="3313"/>
      <c r="AD63" s="3313" t="s">
        <v>382</v>
      </c>
      <c r="AE63" s="3313"/>
      <c r="AF63" s="3313"/>
      <c r="AG63" s="3313"/>
      <c r="AH63" s="331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14">
        <f>IF(Application!Z204="(select)",0,((T23*T27)+Y28))</f>
        <v>57435126</v>
      </c>
      <c r="Z64" s="3315"/>
      <c r="AA64" s="3315"/>
      <c r="AB64" s="3315"/>
      <c r="AC64" s="3316"/>
      <c r="AD64" s="3314">
        <f>IF(AND(Application!AP204="yes",Application!M357="yes"),AD28+AI28,0)</f>
        <v>0</v>
      </c>
      <c r="AE64" s="3315"/>
      <c r="AF64" s="3315"/>
      <c r="AG64" s="3315"/>
      <c r="AH64" s="331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2435</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2436</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1">
        <f>IF(Application!AP204="yes",0.75,IF(Application!Z203="15% set-aside",0.13,IF(Application!Z203="15% set-aside with qualifying low value rehab",0.95,0.3)))</f>
        <v>0.3</v>
      </c>
      <c r="Z67" s="3331"/>
      <c r="AA67" s="3331"/>
      <c r="AB67" s="3331"/>
      <c r="AC67" s="3331"/>
      <c r="AD67" s="3331">
        <f>IF(Application!AP204="yes",0.75,IF(Application!Z203="15% set-aside with qualifying low value rehab", 0.95,0.13))</f>
        <v>0.13</v>
      </c>
      <c r="AE67" s="3331"/>
      <c r="AF67" s="3331"/>
      <c r="AG67" s="3331"/>
      <c r="AH67" s="333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32">
        <f>ROUND(Y64*Y67,0)</f>
        <v>17230538</v>
      </c>
      <c r="Z68" s="3333"/>
      <c r="AA68" s="3333"/>
      <c r="AB68" s="3333"/>
      <c r="AC68" s="3333"/>
      <c r="AD68" s="3332" t="str">
        <f>IF(Application!D210="At-Risk",AD64*AD67,"$0")</f>
        <v>$0</v>
      </c>
      <c r="AE68" s="3333"/>
      <c r="AF68" s="3333"/>
      <c r="AG68" s="3333"/>
      <c r="AH68" s="333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7">
        <f>0.83*0.999900049999999</f>
        <v>0.82991704149999912</v>
      </c>
      <c r="AC71" s="3318"/>
      <c r="AD71" s="3318"/>
      <c r="AE71" s="3318"/>
      <c r="AF71" s="331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4" t="s">
        <v>1492</v>
      </c>
      <c r="F72" s="3334"/>
      <c r="G72" s="3334"/>
      <c r="H72" s="3334"/>
      <c r="I72" s="3334"/>
      <c r="J72" s="3334"/>
      <c r="K72" s="3334"/>
      <c r="L72" s="3334"/>
      <c r="M72" s="3334"/>
      <c r="N72" s="3334"/>
      <c r="O72" s="3334"/>
      <c r="P72" s="3334"/>
      <c r="Q72" s="3334"/>
      <c r="R72" s="3334"/>
      <c r="S72" s="3334"/>
      <c r="T72" s="3334"/>
      <c r="U72" s="3334"/>
      <c r="V72" s="3334"/>
      <c r="W72" s="3334"/>
      <c r="X72" s="3334"/>
      <c r="Y72" s="3334"/>
      <c r="Z72" s="3334"/>
      <c r="AA72" s="3334"/>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4"/>
      <c r="F73" s="3334"/>
      <c r="G73" s="3334"/>
      <c r="H73" s="3334"/>
      <c r="I73" s="3334"/>
      <c r="J73" s="3334"/>
      <c r="K73" s="3334"/>
      <c r="L73" s="3334"/>
      <c r="M73" s="3334"/>
      <c r="N73" s="3334"/>
      <c r="O73" s="3334"/>
      <c r="P73" s="3334"/>
      <c r="Q73" s="3334"/>
      <c r="R73" s="3334"/>
      <c r="S73" s="3334"/>
      <c r="T73" s="3334"/>
      <c r="U73" s="3334"/>
      <c r="V73" s="3334"/>
      <c r="W73" s="3334"/>
      <c r="X73" s="3334"/>
      <c r="Y73" s="3334"/>
      <c r="Z73" s="3334"/>
      <c r="AA73" s="3334"/>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4"/>
      <c r="F74" s="3334"/>
      <c r="G74" s="3334"/>
      <c r="H74" s="3334"/>
      <c r="I74" s="3334"/>
      <c r="J74" s="3334"/>
      <c r="K74" s="3334"/>
      <c r="L74" s="3334"/>
      <c r="M74" s="3334"/>
      <c r="N74" s="3334"/>
      <c r="O74" s="3334"/>
      <c r="P74" s="3334"/>
      <c r="Q74" s="3334"/>
      <c r="R74" s="3334"/>
      <c r="S74" s="3334"/>
      <c r="T74" s="3334"/>
      <c r="U74" s="3334"/>
      <c r="V74" s="3334"/>
      <c r="W74" s="3334"/>
      <c r="X74" s="3334"/>
      <c r="Y74" s="3334"/>
      <c r="Z74" s="3334"/>
      <c r="AA74" s="3334"/>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6">
        <f>ROUND(IF(ISERROR((AB59/AB71)),0,(AB59/AB71)),0)</f>
        <v>8336284</v>
      </c>
      <c r="AC76" s="3326"/>
      <c r="AD76" s="3326"/>
      <c r="AE76" s="3326"/>
      <c r="AF76" s="3326"/>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7">
        <f>IF((Y68+AD68&lt;AB76),Y68+AD68,AB76)</f>
        <v>8336284</v>
      </c>
      <c r="AC77" s="3328"/>
      <c r="AD77" s="3328"/>
      <c r="AE77" s="3328"/>
      <c r="AF77" s="3329"/>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0">
        <f>AB77*AB71</f>
        <v>6918424.1543837786</v>
      </c>
      <c r="AC78" s="3330"/>
      <c r="AD78" s="3330"/>
      <c r="AE78" s="3330"/>
      <c r="AF78" s="3330"/>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2">
        <f>AB49-(AB57+AB78)</f>
        <v>-0.15438377857208252</v>
      </c>
      <c r="AC80" s="3312"/>
      <c r="AD80" s="3312"/>
      <c r="AE80" s="3312"/>
      <c r="AF80" s="331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64"/>
      <c r="B83" s="3264"/>
      <c r="C83" s="3264"/>
      <c r="D83" s="3264"/>
      <c r="E83" s="3264"/>
      <c r="F83" s="3264"/>
      <c r="G83" s="3264"/>
      <c r="H83" s="3264"/>
      <c r="I83" s="3264"/>
      <c r="J83" s="3264"/>
      <c r="K83" s="3264"/>
      <c r="L83" s="3264"/>
      <c r="M83" s="3264"/>
      <c r="N83" s="3264"/>
      <c r="O83" s="3264"/>
      <c r="P83" s="3264"/>
      <c r="Q83" s="3264"/>
      <c r="R83" s="3264"/>
      <c r="S83" s="3264"/>
      <c r="T83" s="3264"/>
      <c r="U83" s="3264"/>
      <c r="V83" s="3264"/>
      <c r="W83" s="3264"/>
      <c r="X83" s="3264"/>
      <c r="Y83" s="3264"/>
      <c r="Z83" s="3264"/>
      <c r="AA83" s="3264"/>
      <c r="AB83" s="3264"/>
      <c r="AC83" s="3264"/>
      <c r="AD83" s="3264"/>
      <c r="AE83" s="3264"/>
      <c r="AF83" s="3264"/>
      <c r="AG83" s="3264"/>
      <c r="AH83" s="3264"/>
      <c r="AI83" s="3264"/>
      <c r="AJ83" s="3264"/>
      <c r="AK83" s="3264"/>
      <c r="AL83" s="3264"/>
      <c r="AM83" s="3264"/>
      <c r="AN83" s="3264"/>
      <c r="AO83" s="3264"/>
      <c r="AP83" s="3264"/>
      <c r="AQ83" s="3264"/>
      <c r="AR83" s="3264"/>
      <c r="AS83" s="3264"/>
      <c r="AT83" s="3264"/>
      <c r="AU83" s="3264"/>
      <c r="AV83" s="3264"/>
      <c r="AW83" s="3264"/>
      <c r="AX83" s="3264"/>
      <c r="AY83" s="3264"/>
      <c r="AZ83" s="3264"/>
      <c r="BA83" s="3264"/>
      <c r="BB83" s="3264"/>
      <c r="BC83" s="3264"/>
      <c r="BD83" s="3264"/>
      <c r="BE83" s="3264"/>
      <c r="BF83" s="3264"/>
      <c r="BG83" s="3264"/>
      <c r="BH83" s="3264"/>
      <c r="BI83" s="3264"/>
      <c r="BJ83" s="3264"/>
      <c r="BK83" s="3264"/>
      <c r="BL83" s="3264"/>
      <c r="BM83" s="3264"/>
      <c r="BN83" s="3264"/>
      <c r="BO83" s="3264"/>
      <c r="BP83" s="3264"/>
      <c r="BQ83" s="3264"/>
      <c r="BR83" s="3264"/>
      <c r="BS83" s="3264"/>
      <c r="BT83" s="3264"/>
      <c r="BU83" s="3264"/>
      <c r="BV83" s="3264"/>
      <c r="BW83" s="3264"/>
      <c r="BX83" s="3264"/>
    </row>
    <row r="84" spans="1:98" ht="13.8" thickTop="1"/>
    <row r="85" spans="1:98" ht="13.2">
      <c r="A85" s="795"/>
      <c r="C85" s="335"/>
      <c r="Z85" s="620"/>
      <c r="AA85" s="620"/>
      <c r="AB85" s="620"/>
      <c r="AC85" s="620"/>
      <c r="AD85" s="620"/>
      <c r="AE85" s="620"/>
      <c r="AF85" s="620"/>
      <c r="AG85" s="620"/>
      <c r="AH85" s="620"/>
    </row>
    <row r="86" spans="1:98" ht="13.2">
      <c r="D86" s="335"/>
      <c r="Z86" s="620"/>
      <c r="AA86" s="620"/>
      <c r="AB86" s="3265"/>
      <c r="AC86" s="3265"/>
      <c r="AD86" s="3265"/>
      <c r="AE86" s="3265"/>
      <c r="AF86" s="3265"/>
      <c r="AG86" s="620"/>
      <c r="AH86" s="620"/>
    </row>
    <row r="87" spans="1:98" ht="13.8" thickBot="1">
      <c r="D87" s="335"/>
      <c r="Z87" s="620"/>
      <c r="AA87" s="620"/>
      <c r="AB87" s="3263"/>
      <c r="AC87" s="3263"/>
      <c r="AD87" s="3263"/>
      <c r="AE87" s="3263"/>
      <c r="AF87" s="3263"/>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I21" sqref="I21"/>
    </sheetView>
  </sheetViews>
  <sheetFormatPr defaultColWidth="9" defaultRowHeight="13.8" zeroHeight="1"/>
  <cols>
    <col min="1" max="2" width="2.5546875" style="1426" customWidth="1"/>
    <col min="3" max="3" width="3.886718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6640625" style="1426" customWidth="1"/>
    <col min="15" max="24" width="2.5546875" style="1426" customWidth="1"/>
    <col min="25" max="33" width="9" style="1426" customWidth="1"/>
    <col min="34" max="16384" width="9" style="1426"/>
  </cols>
  <sheetData>
    <row r="1" spans="1:33">
      <c r="A1" s="3337" t="s">
        <v>1950</v>
      </c>
      <c r="B1" s="3337"/>
      <c r="C1" s="3337"/>
      <c r="D1" s="3337"/>
      <c r="E1" s="3337"/>
      <c r="F1" s="3337"/>
      <c r="G1" s="3337"/>
      <c r="H1" s="3337"/>
      <c r="I1" s="3337"/>
      <c r="J1" s="3337"/>
      <c r="K1" s="333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7"/>
      <c r="B2" s="3337"/>
      <c r="C2" s="3337"/>
      <c r="D2" s="3337"/>
      <c r="E2" s="3337"/>
      <c r="F2" s="3337"/>
      <c r="G2" s="3337"/>
      <c r="H2" s="3337"/>
      <c r="I2" s="3337"/>
      <c r="J2" s="3337"/>
      <c r="K2" s="333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8" t="s">
        <v>1951</v>
      </c>
      <c r="D4" s="3338"/>
      <c r="E4" s="3338"/>
      <c r="F4" s="3338"/>
      <c r="G4" s="3338"/>
      <c r="H4" s="3338"/>
      <c r="I4" s="3338"/>
      <c r="J4" s="3338"/>
    </row>
    <row r="5" spans="1:33">
      <c r="C5" s="3338"/>
      <c r="D5" s="3338"/>
      <c r="E5" s="3338"/>
      <c r="F5" s="3338"/>
      <c r="G5" s="3338"/>
      <c r="H5" s="3338"/>
      <c r="I5" s="3338"/>
      <c r="J5" s="3338"/>
    </row>
    <row r="6" spans="1:33">
      <c r="C6" s="1428"/>
      <c r="D6" s="1428"/>
      <c r="E6" s="1428"/>
      <c r="F6" s="1428"/>
      <c r="G6" s="1428"/>
      <c r="H6" s="1428"/>
      <c r="I6" s="1428"/>
      <c r="J6" s="1428"/>
    </row>
    <row r="7" spans="1:33">
      <c r="C7" s="1429" t="s">
        <v>1952</v>
      </c>
      <c r="D7" s="1428"/>
      <c r="E7" s="3339" t="str">
        <f>Application!H16</f>
        <v>CRP Windsor Residences LP (to be formed)</v>
      </c>
      <c r="F7" s="3339"/>
      <c r="G7" s="3339"/>
      <c r="H7" s="1428"/>
      <c r="I7" s="1429" t="s">
        <v>1953</v>
      </c>
      <c r="J7" s="1430">
        <f>Application!AG437+Application!AG439</f>
        <v>133</v>
      </c>
    </row>
    <row r="8" spans="1:33">
      <c r="C8" s="1429" t="s">
        <v>1954</v>
      </c>
      <c r="D8" s="1428"/>
      <c r="E8" s="3339" t="str">
        <f>Application!H18</f>
        <v>Windsor Residences</v>
      </c>
      <c r="F8" s="3339"/>
      <c r="G8" s="3339"/>
      <c r="H8" s="1428"/>
      <c r="I8" s="1429" t="s">
        <v>1955</v>
      </c>
      <c r="J8" s="1431">
        <f>Application!CS663</f>
        <v>393</v>
      </c>
    </row>
    <row r="9" spans="1:33" ht="14.25" customHeight="1">
      <c r="C9" s="1429" t="s">
        <v>1956</v>
      </c>
      <c r="D9" s="1428"/>
      <c r="E9" s="3340" t="str">
        <f>Application!D210</f>
        <v>Large Family</v>
      </c>
      <c r="F9" s="3340"/>
      <c r="G9" s="3340"/>
      <c r="H9" s="1428"/>
      <c r="I9" s="1429" t="s">
        <v>1957</v>
      </c>
      <c r="J9" s="1432"/>
      <c r="N9" s="1433"/>
    </row>
    <row r="10" spans="1:33" ht="26.85" customHeight="1">
      <c r="C10" s="3338" t="s">
        <v>1958</v>
      </c>
      <c r="D10" s="3338"/>
      <c r="E10" s="3341" t="str">
        <f>Application!D213</f>
        <v>N/A</v>
      </c>
      <c r="F10" s="3341"/>
      <c r="G10" s="3341"/>
      <c r="H10" s="1428"/>
      <c r="I10" s="1434" t="s">
        <v>1959</v>
      </c>
      <c r="J10" s="1435">
        <f>IF(J9&gt;0,J8-J9,J8)</f>
        <v>393</v>
      </c>
      <c r="N10" s="1433"/>
    </row>
    <row r="11" spans="1:33">
      <c r="C11" s="1436"/>
      <c r="N11" s="1433"/>
    </row>
    <row r="12" spans="1:33" ht="15" customHeight="1">
      <c r="C12" s="3342" t="s">
        <v>1960</v>
      </c>
      <c r="D12" s="3343"/>
      <c r="E12" s="3344"/>
      <c r="F12" s="3335" t="s">
        <v>1961</v>
      </c>
      <c r="G12" s="3335" t="s">
        <v>1962</v>
      </c>
      <c r="H12" s="3348" t="s">
        <v>2174</v>
      </c>
      <c r="I12" s="3335" t="s">
        <v>2173</v>
      </c>
      <c r="J12" s="3335" t="s">
        <v>1963</v>
      </c>
      <c r="N12" s="1433"/>
    </row>
    <row r="13" spans="1:33" ht="68.25" customHeight="1">
      <c r="C13" s="3345"/>
      <c r="D13" s="3346"/>
      <c r="E13" s="3347"/>
      <c r="F13" s="3336"/>
      <c r="G13" s="3336"/>
      <c r="H13" s="3349"/>
      <c r="I13" s="3336"/>
      <c r="J13" s="3336"/>
    </row>
    <row r="14" spans="1:33" ht="1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846" t="s">
        <v>2518</v>
      </c>
      <c r="G17" s="1445">
        <v>13300</v>
      </c>
      <c r="H17" s="1847" t="s">
        <v>2235</v>
      </c>
      <c r="I17" s="1847" t="s">
        <v>2606</v>
      </c>
      <c r="J17" s="1847" t="s">
        <v>2545</v>
      </c>
    </row>
    <row r="18" spans="3:10">
      <c r="C18" s="1441" t="s">
        <v>1970</v>
      </c>
      <c r="D18" s="1427" t="s">
        <v>1971</v>
      </c>
      <c r="E18" s="1427"/>
      <c r="F18" s="1846" t="s">
        <v>2591</v>
      </c>
      <c r="G18" s="1445">
        <v>13300</v>
      </c>
      <c r="H18" s="1847" t="s">
        <v>2235</v>
      </c>
      <c r="I18" s="1847" t="s">
        <v>2606</v>
      </c>
      <c r="J18" s="1847" t="s">
        <v>2545</v>
      </c>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971</v>
      </c>
      <c r="D35" s="1465"/>
      <c r="E35" s="1465"/>
      <c r="F35" s="1466"/>
      <c r="G35" s="1467">
        <f>SUM(G15:G33)</f>
        <v>26600</v>
      </c>
      <c r="H35" s="1468"/>
      <c r="I35" s="1468"/>
      <c r="J35" s="1468"/>
    </row>
    <row r="36" spans="3:10"/>
    <row r="37" spans="3:10" ht="16.2">
      <c r="C37" s="1469" t="s">
        <v>1987</v>
      </c>
    </row>
    <row r="38" spans="3:10" s="1471" customFormat="1" ht="17.25" customHeight="1">
      <c r="C38" s="1470" t="s">
        <v>1988</v>
      </c>
    </row>
    <row r="39" spans="3:10" s="1471" customFormat="1" ht="14.4">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Q64" sqref="Q64"/>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940</v>
      </c>
      <c r="B1" s="341"/>
    </row>
    <row r="2" spans="1:34"/>
    <row r="3" spans="1:34" ht="15.6">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8">
      <c r="A4" s="355" t="s">
        <v>903</v>
      </c>
      <c r="C4" s="375">
        <v>1.0249999999999999</v>
      </c>
      <c r="E4" s="355">
        <f>Application!Y799</f>
        <v>2592156</v>
      </c>
      <c r="G4" s="355">
        <f>E4*$C$4</f>
        <v>2656959.9</v>
      </c>
      <c r="I4" s="355">
        <f>G4*$C$4</f>
        <v>2723383.8974999995</v>
      </c>
      <c r="K4" s="355">
        <f>I4*$C$4</f>
        <v>2791468.4949374991</v>
      </c>
      <c r="M4" s="355">
        <f>K4*$C$4</f>
        <v>2861255.2073109364</v>
      </c>
      <c r="O4" s="355">
        <f>M4*$C$4</f>
        <v>2932786.5874937098</v>
      </c>
      <c r="Q4" s="355">
        <f>O4*$C$4</f>
        <v>3006106.2521810522</v>
      </c>
      <c r="S4" s="355">
        <f>Q4*$C$4</f>
        <v>3081258.9084855784</v>
      </c>
      <c r="U4" s="355">
        <f>S4*$C$4</f>
        <v>3158290.3811977175</v>
      </c>
      <c r="W4" s="355">
        <f>U4*$C$4</f>
        <v>3237247.6407276602</v>
      </c>
      <c r="Y4" s="355">
        <f>W4*$C$4</f>
        <v>3318178.8317458513</v>
      </c>
      <c r="AA4" s="355">
        <f>Y4*$C$4</f>
        <v>3401133.3025394971</v>
      </c>
      <c r="AC4" s="355">
        <f>AA4*$C$4</f>
        <v>3486161.6351029845</v>
      </c>
      <c r="AE4" s="355">
        <f>AC4*$C$4</f>
        <v>3573315.6759805586</v>
      </c>
      <c r="AG4" s="355">
        <f>AE4*$C$4</f>
        <v>3662648.5678800722</v>
      </c>
    </row>
    <row r="5" spans="1:34" s="340" customFormat="1" ht="13.8">
      <c r="B5" s="340" t="s">
        <v>904</v>
      </c>
      <c r="C5" s="376">
        <f>IF(Application!$D$210="Special Needs",0.1,0.05)</f>
        <v>0.05</v>
      </c>
      <c r="E5" s="357">
        <f>-E4*$C$5</f>
        <v>-129607.8</v>
      </c>
      <c r="F5" s="357"/>
      <c r="G5" s="357">
        <f>-G4*$C$5</f>
        <v>-132847.995</v>
      </c>
      <c r="H5" s="357"/>
      <c r="I5" s="357">
        <f>-I4*$C$5</f>
        <v>-136169.19487499999</v>
      </c>
      <c r="J5" s="357"/>
      <c r="K5" s="357">
        <f>-K4*$C$5</f>
        <v>-139573.42474687495</v>
      </c>
      <c r="L5" s="357"/>
      <c r="M5" s="357">
        <f>-M4*$C$5</f>
        <v>-143062.76036554683</v>
      </c>
      <c r="N5" s="357"/>
      <c r="O5" s="357">
        <f>-O4*$C$5</f>
        <v>-146639.32937468551</v>
      </c>
      <c r="P5" s="357"/>
      <c r="Q5" s="357">
        <f>-Q4*$C$5</f>
        <v>-150305.31260905261</v>
      </c>
      <c r="R5" s="357"/>
      <c r="S5" s="357">
        <f>-S4*$C$5</f>
        <v>-154062.94542427894</v>
      </c>
      <c r="T5" s="357"/>
      <c r="U5" s="357">
        <f>-U4*$C$5</f>
        <v>-157914.51905988588</v>
      </c>
      <c r="V5" s="357"/>
      <c r="W5" s="357">
        <f>-W4*$C$5</f>
        <v>-161862.38203638303</v>
      </c>
      <c r="X5" s="357"/>
      <c r="Y5" s="357">
        <f>-Y4*$C$5</f>
        <v>-165908.94158729259</v>
      </c>
      <c r="Z5" s="357"/>
      <c r="AA5" s="357">
        <f>-AA4*$C$5</f>
        <v>-170056.66512697487</v>
      </c>
      <c r="AB5" s="357"/>
      <c r="AC5" s="357">
        <f>-AC4*$C$5</f>
        <v>-174308.08175514924</v>
      </c>
      <c r="AD5" s="357"/>
      <c r="AE5" s="357">
        <f>-AE4*$C$5</f>
        <v>-178665.78379902794</v>
      </c>
      <c r="AF5" s="357"/>
      <c r="AG5" s="357">
        <f>-AG4*$C$5</f>
        <v>-183132.42839400363</v>
      </c>
    </row>
    <row r="6" spans="1:34" s="340" customFormat="1" ht="13.8">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8">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8">
      <c r="A8" s="340" t="s">
        <v>298</v>
      </c>
      <c r="C8" s="375">
        <v>1.0249999999999999</v>
      </c>
      <c r="E8" s="358">
        <f>Application!Z815</f>
        <v>25728</v>
      </c>
      <c r="F8" s="358"/>
      <c r="G8" s="358">
        <f>E8*$C$8</f>
        <v>26371.199999999997</v>
      </c>
      <c r="H8" s="358"/>
      <c r="I8" s="358">
        <f>G8*$C$8</f>
        <v>27030.479999999996</v>
      </c>
      <c r="J8" s="358"/>
      <c r="K8" s="358">
        <f>I8*$C$8</f>
        <v>27706.241999999995</v>
      </c>
      <c r="L8" s="358"/>
      <c r="M8" s="358">
        <f>K8*$C$8</f>
        <v>28398.898049999993</v>
      </c>
      <c r="N8" s="358"/>
      <c r="O8" s="358">
        <f>M8*$C$8</f>
        <v>29108.870501249989</v>
      </c>
      <c r="P8" s="358"/>
      <c r="Q8" s="358">
        <f>O8*$C$8</f>
        <v>29836.592263781236</v>
      </c>
      <c r="R8" s="358"/>
      <c r="S8" s="358">
        <f>Q8*$C$8</f>
        <v>30582.507070375763</v>
      </c>
      <c r="T8" s="358"/>
      <c r="U8" s="358">
        <f>S8*$C$8</f>
        <v>31347.069747135156</v>
      </c>
      <c r="V8" s="358"/>
      <c r="W8" s="358">
        <f>U8*$C$8</f>
        <v>32130.746490813533</v>
      </c>
      <c r="X8" s="358"/>
      <c r="Y8" s="358">
        <f>W8*$C$8</f>
        <v>32934.01515308387</v>
      </c>
      <c r="Z8" s="358"/>
      <c r="AA8" s="358">
        <f>Y8*$C$8</f>
        <v>33757.365531910968</v>
      </c>
      <c r="AB8" s="358"/>
      <c r="AC8" s="358">
        <f>AA8*$C$8</f>
        <v>34601.29967020874</v>
      </c>
      <c r="AD8" s="358"/>
      <c r="AE8" s="358">
        <f>AC8*$C$8</f>
        <v>35466.332161963954</v>
      </c>
      <c r="AF8" s="358"/>
      <c r="AG8" s="358">
        <f>AE8*$C$8</f>
        <v>36352.990466013049</v>
      </c>
    </row>
    <row r="9" spans="1:34" s="340" customFormat="1" ht="13.8">
      <c r="B9" s="340" t="s">
        <v>904</v>
      </c>
      <c r="C9" s="376">
        <f>IF(Application!$D$210="Special Needs",0.1,0.05)</f>
        <v>0.05</v>
      </c>
      <c r="E9" s="374">
        <f>-E8*$C$9</f>
        <v>-1286.4000000000001</v>
      </c>
      <c r="F9" s="357"/>
      <c r="G9" s="374">
        <f>-G8*$C$9</f>
        <v>-1318.56</v>
      </c>
      <c r="H9" s="357"/>
      <c r="I9" s="374">
        <f>-I8*$C$9</f>
        <v>-1351.5239999999999</v>
      </c>
      <c r="J9" s="357"/>
      <c r="K9" s="374">
        <f>-K8*$C$9</f>
        <v>-1385.3120999999999</v>
      </c>
      <c r="L9" s="357"/>
      <c r="M9" s="374">
        <f>-M8*$C$9</f>
        <v>-1419.9449024999997</v>
      </c>
      <c r="N9" s="357"/>
      <c r="O9" s="374">
        <f>-O8*$C$9</f>
        <v>-1455.4435250624995</v>
      </c>
      <c r="P9" s="357"/>
      <c r="Q9" s="374">
        <f>-Q8*$C$9</f>
        <v>-1491.829613189062</v>
      </c>
      <c r="R9" s="357"/>
      <c r="S9" s="374">
        <f>-S8*$C$9</f>
        <v>-1529.1253535187882</v>
      </c>
      <c r="T9" s="357"/>
      <c r="U9" s="374">
        <f>-U8*$C$9</f>
        <v>-1567.3534873567578</v>
      </c>
      <c r="V9" s="357"/>
      <c r="W9" s="374">
        <f>-W8*$C$9</f>
        <v>-1606.5373245406768</v>
      </c>
      <c r="X9" s="357"/>
      <c r="Y9" s="374">
        <f>-Y8*$C$9</f>
        <v>-1646.7007576541937</v>
      </c>
      <c r="Z9" s="357"/>
      <c r="AA9" s="374">
        <f>-AA8*$C$9</f>
        <v>-1687.8682765955484</v>
      </c>
      <c r="AB9" s="357"/>
      <c r="AC9" s="374">
        <f>-AC8*$C$9</f>
        <v>-1730.0649835104371</v>
      </c>
      <c r="AD9" s="357"/>
      <c r="AE9" s="374">
        <f>-AE8*$C$9</f>
        <v>-1773.3166080981978</v>
      </c>
      <c r="AF9" s="357"/>
      <c r="AG9" s="374">
        <f>-AG8*$C$9</f>
        <v>-1817.6495233006526</v>
      </c>
    </row>
    <row r="10" spans="1:34" s="359" customFormat="1" ht="13.8">
      <c r="A10" s="359" t="s">
        <v>925</v>
      </c>
      <c r="C10" s="350"/>
      <c r="E10" s="359">
        <f>SUM(E4:E9)</f>
        <v>2486989.8000000003</v>
      </c>
      <c r="G10" s="359">
        <f>SUM(G4:G9)</f>
        <v>2549164.5449999999</v>
      </c>
      <c r="I10" s="359">
        <f>SUM(I4:I9)</f>
        <v>2612893.6586249992</v>
      </c>
      <c r="K10" s="359">
        <f>SUM(K4:K9)</f>
        <v>2678216.0000906242</v>
      </c>
      <c r="M10" s="359">
        <f>SUM(M4:M9)</f>
        <v>2745171.4000928896</v>
      </c>
      <c r="O10" s="359">
        <f>SUM(O4:O9)</f>
        <v>2813800.685095212</v>
      </c>
      <c r="Q10" s="359">
        <f>SUM(Q4:Q9)</f>
        <v>2884145.7022225917</v>
      </c>
      <c r="S10" s="359">
        <f>SUM(S4:S9)</f>
        <v>2956249.3447781564</v>
      </c>
      <c r="U10" s="359">
        <f>SUM(U4:U9)</f>
        <v>3030155.5783976102</v>
      </c>
      <c r="W10" s="359">
        <f>SUM(W4:W9)</f>
        <v>3105909.4678575499</v>
      </c>
      <c r="Y10" s="359">
        <f>SUM(Y4:Y9)</f>
        <v>3183557.2045539883</v>
      </c>
      <c r="AA10" s="359">
        <f>SUM(AA4:AA9)</f>
        <v>3263146.134667838</v>
      </c>
      <c r="AC10" s="359">
        <f>SUM(AC4:AC9)</f>
        <v>3344724.7880345336</v>
      </c>
      <c r="AE10" s="359">
        <f>SUM(AE4:AE9)</f>
        <v>3428342.9077353962</v>
      </c>
      <c r="AG10" s="359">
        <f>SUM(AG4:AG9)</f>
        <v>3514051.4804287809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907</v>
      </c>
      <c r="C14" s="370"/>
      <c r="E14" s="355">
        <f>Application!W845</f>
        <v>20000</v>
      </c>
      <c r="G14" s="355">
        <f>E14*$C$13</f>
        <v>20700</v>
      </c>
      <c r="I14" s="355">
        <f>G14*$C$13</f>
        <v>21424.5</v>
      </c>
      <c r="K14" s="355">
        <f>I14*$C$13</f>
        <v>22174.357499999998</v>
      </c>
      <c r="M14" s="355">
        <f>K14*$C$13</f>
        <v>22950.460012499996</v>
      </c>
      <c r="O14" s="355">
        <f>M14*$C$13</f>
        <v>23753.726112937493</v>
      </c>
      <c r="Q14" s="355">
        <f>O14*$C$13</f>
        <v>24585.106526890304</v>
      </c>
      <c r="S14" s="355">
        <f>Q14*$C$13</f>
        <v>25445.585255331462</v>
      </c>
      <c r="U14" s="355">
        <f>S14*$C$13</f>
        <v>26336.18073926806</v>
      </c>
      <c r="W14" s="355">
        <f>U14*$C$13</f>
        <v>27257.947065142442</v>
      </c>
      <c r="Y14" s="355">
        <f>W14*$C$13</f>
        <v>28211.975212422425</v>
      </c>
      <c r="AA14" s="355">
        <f>Y14*$C$13</f>
        <v>29199.394344857206</v>
      </c>
      <c r="AC14" s="355">
        <f>AA14*$C$13</f>
        <v>30221.373146927206</v>
      </c>
      <c r="AE14" s="355">
        <f>AC14*$C$13</f>
        <v>31279.121207069657</v>
      </c>
      <c r="AG14" s="355">
        <f>AE14*$C$13</f>
        <v>32373.890449317092</v>
      </c>
    </row>
    <row r="15" spans="1:34" s="340" customFormat="1" ht="13.8">
      <c r="A15" s="340" t="s">
        <v>356</v>
      </c>
      <c r="C15" s="369"/>
      <c r="E15" s="358">
        <f>Application!W847</f>
        <v>95760</v>
      </c>
      <c r="F15" s="358"/>
      <c r="G15" s="358">
        <f t="shared" ref="G15:AG20" si="0">E15*$C$13</f>
        <v>99111.599999999991</v>
      </c>
      <c r="H15" s="358"/>
      <c r="I15" s="358">
        <f t="shared" si="0"/>
        <v>102580.50599999998</v>
      </c>
      <c r="J15" s="358"/>
      <c r="K15" s="358">
        <f t="shared" si="0"/>
        <v>106170.82370999997</v>
      </c>
      <c r="L15" s="358"/>
      <c r="M15" s="358">
        <f t="shared" si="0"/>
        <v>109886.80253984996</v>
      </c>
      <c r="N15" s="358"/>
      <c r="O15" s="358">
        <f t="shared" si="0"/>
        <v>113732.8406287447</v>
      </c>
      <c r="P15" s="358"/>
      <c r="Q15" s="358">
        <f t="shared" si="0"/>
        <v>117713.49005075076</v>
      </c>
      <c r="R15" s="358"/>
      <c r="S15" s="358">
        <f t="shared" si="0"/>
        <v>121833.46220252702</v>
      </c>
      <c r="T15" s="358"/>
      <c r="U15" s="358">
        <f t="shared" si="0"/>
        <v>126097.63337961546</v>
      </c>
      <c r="V15" s="358"/>
      <c r="W15" s="358">
        <f t="shared" si="0"/>
        <v>130511.05054790199</v>
      </c>
      <c r="X15" s="358"/>
      <c r="Y15" s="358">
        <f t="shared" si="0"/>
        <v>135078.93731707855</v>
      </c>
      <c r="Z15" s="358"/>
      <c r="AA15" s="358">
        <f t="shared" si="0"/>
        <v>139806.7001231763</v>
      </c>
      <c r="AB15" s="358"/>
      <c r="AC15" s="358">
        <f t="shared" si="0"/>
        <v>144699.93462748747</v>
      </c>
      <c r="AD15" s="358"/>
      <c r="AE15" s="358">
        <f t="shared" si="0"/>
        <v>149764.43233944953</v>
      </c>
      <c r="AF15" s="358"/>
      <c r="AG15" s="358">
        <f t="shared" si="0"/>
        <v>155006.18747133025</v>
      </c>
    </row>
    <row r="16" spans="1:34" s="340" customFormat="1" ht="13.8">
      <c r="A16" s="340" t="s">
        <v>595</v>
      </c>
      <c r="C16" s="369"/>
      <c r="E16" s="358">
        <f>Application!W853</f>
        <v>200000</v>
      </c>
      <c r="F16" s="358"/>
      <c r="G16" s="358">
        <f t="shared" si="0"/>
        <v>206999.99999999997</v>
      </c>
      <c r="H16" s="358"/>
      <c r="I16" s="358">
        <f t="shared" si="0"/>
        <v>214244.99999999994</v>
      </c>
      <c r="J16" s="358"/>
      <c r="K16" s="358">
        <f t="shared" si="0"/>
        <v>221743.57499999992</v>
      </c>
      <c r="L16" s="358"/>
      <c r="M16" s="358">
        <f t="shared" si="0"/>
        <v>229504.60012499991</v>
      </c>
      <c r="N16" s="358"/>
      <c r="O16" s="358">
        <f t="shared" si="0"/>
        <v>237537.26112937488</v>
      </c>
      <c r="P16" s="358"/>
      <c r="Q16" s="358">
        <f t="shared" si="0"/>
        <v>245851.06526890298</v>
      </c>
      <c r="R16" s="358"/>
      <c r="S16" s="358">
        <f t="shared" si="0"/>
        <v>254455.85255331456</v>
      </c>
      <c r="T16" s="358"/>
      <c r="U16" s="358">
        <f t="shared" si="0"/>
        <v>263361.80739268055</v>
      </c>
      <c r="V16" s="358"/>
      <c r="W16" s="358">
        <f t="shared" si="0"/>
        <v>272579.47065142437</v>
      </c>
      <c r="X16" s="358"/>
      <c r="Y16" s="358">
        <f t="shared" si="0"/>
        <v>282119.75212422421</v>
      </c>
      <c r="Z16" s="358"/>
      <c r="AA16" s="358">
        <f t="shared" si="0"/>
        <v>291993.94344857201</v>
      </c>
      <c r="AB16" s="358"/>
      <c r="AC16" s="358">
        <f t="shared" si="0"/>
        <v>302213.731469272</v>
      </c>
      <c r="AD16" s="358"/>
      <c r="AE16" s="358">
        <f t="shared" si="0"/>
        <v>312791.21207069646</v>
      </c>
      <c r="AF16" s="358"/>
      <c r="AG16" s="358">
        <f t="shared" si="0"/>
        <v>323738.90449317079</v>
      </c>
    </row>
    <row r="17" spans="1:33" s="340" customFormat="1" ht="13.8">
      <c r="A17" s="340" t="s">
        <v>908</v>
      </c>
      <c r="C17" s="369"/>
      <c r="E17" s="358">
        <f>Application!W860</f>
        <v>165000</v>
      </c>
      <c r="F17" s="358"/>
      <c r="G17" s="358">
        <f t="shared" si="0"/>
        <v>170775</v>
      </c>
      <c r="H17" s="358"/>
      <c r="I17" s="358">
        <f t="shared" si="0"/>
        <v>176752.125</v>
      </c>
      <c r="J17" s="358"/>
      <c r="K17" s="358">
        <f t="shared" si="0"/>
        <v>182938.449375</v>
      </c>
      <c r="L17" s="358"/>
      <c r="M17" s="358">
        <f t="shared" si="0"/>
        <v>189341.29510312498</v>
      </c>
      <c r="N17" s="358"/>
      <c r="O17" s="358">
        <f t="shared" si="0"/>
        <v>195968.24043173433</v>
      </c>
      <c r="P17" s="358"/>
      <c r="Q17" s="358">
        <f t="shared" si="0"/>
        <v>202827.12884684501</v>
      </c>
      <c r="R17" s="358"/>
      <c r="S17" s="358">
        <f t="shared" si="0"/>
        <v>209926.07835648456</v>
      </c>
      <c r="T17" s="358"/>
      <c r="U17" s="358">
        <f t="shared" si="0"/>
        <v>217273.4910989615</v>
      </c>
      <c r="V17" s="358"/>
      <c r="W17" s="358">
        <f t="shared" si="0"/>
        <v>224878.06328742515</v>
      </c>
      <c r="X17" s="358"/>
      <c r="Y17" s="358">
        <f t="shared" si="0"/>
        <v>232748.79550248501</v>
      </c>
      <c r="Z17" s="358"/>
      <c r="AA17" s="358">
        <f t="shared" si="0"/>
        <v>240895.00334507198</v>
      </c>
      <c r="AB17" s="358"/>
      <c r="AC17" s="358">
        <f t="shared" si="0"/>
        <v>249326.32846214948</v>
      </c>
      <c r="AD17" s="358"/>
      <c r="AE17" s="358">
        <f t="shared" si="0"/>
        <v>258052.74995832468</v>
      </c>
      <c r="AF17" s="358"/>
      <c r="AG17" s="358">
        <f t="shared" si="0"/>
        <v>267084.59620686603</v>
      </c>
    </row>
    <row r="18" spans="1:33" s="340" customFormat="1" ht="13.8">
      <c r="A18" s="340" t="s">
        <v>160</v>
      </c>
      <c r="C18" s="369"/>
      <c r="E18" s="358">
        <f>Application!W861</f>
        <v>57948</v>
      </c>
      <c r="F18" s="358"/>
      <c r="G18" s="358">
        <f t="shared" si="0"/>
        <v>59976.179999999993</v>
      </c>
      <c r="H18" s="358"/>
      <c r="I18" s="358">
        <f t="shared" si="0"/>
        <v>62075.34629999999</v>
      </c>
      <c r="J18" s="358"/>
      <c r="K18" s="358">
        <f t="shared" si="0"/>
        <v>64247.983420499986</v>
      </c>
      <c r="L18" s="358"/>
      <c r="M18" s="358">
        <f t="shared" si="0"/>
        <v>66496.662840217483</v>
      </c>
      <c r="N18" s="358"/>
      <c r="O18" s="358">
        <f t="shared" si="0"/>
        <v>68824.046039625086</v>
      </c>
      <c r="P18" s="358"/>
      <c r="Q18" s="358">
        <f t="shared" si="0"/>
        <v>71232.887651011959</v>
      </c>
      <c r="R18" s="358"/>
      <c r="S18" s="358">
        <f t="shared" si="0"/>
        <v>73726.038718797368</v>
      </c>
      <c r="T18" s="358"/>
      <c r="U18" s="358">
        <f t="shared" si="0"/>
        <v>76306.450073955275</v>
      </c>
      <c r="V18" s="358"/>
      <c r="W18" s="358">
        <f t="shared" si="0"/>
        <v>78977.175826543709</v>
      </c>
      <c r="X18" s="358"/>
      <c r="Y18" s="358">
        <f t="shared" si="0"/>
        <v>81741.376980472734</v>
      </c>
      <c r="Z18" s="358"/>
      <c r="AA18" s="358">
        <f t="shared" si="0"/>
        <v>84602.325174789279</v>
      </c>
      <c r="AB18" s="358"/>
      <c r="AC18" s="358">
        <f t="shared" si="0"/>
        <v>87563.406555906899</v>
      </c>
      <c r="AD18" s="358"/>
      <c r="AE18" s="358">
        <f t="shared" si="0"/>
        <v>90628.125785363634</v>
      </c>
      <c r="AF18" s="358"/>
      <c r="AG18" s="358">
        <f t="shared" si="0"/>
        <v>93800.110187851358</v>
      </c>
    </row>
    <row r="19" spans="1:33" s="340" customFormat="1" ht="13.8">
      <c r="A19" s="340" t="s">
        <v>411</v>
      </c>
      <c r="C19" s="369"/>
      <c r="E19" s="358">
        <f>Application!W870</f>
        <v>231792</v>
      </c>
      <c r="F19" s="358"/>
      <c r="G19" s="358">
        <f t="shared" si="0"/>
        <v>239904.71999999997</v>
      </c>
      <c r="H19" s="358"/>
      <c r="I19" s="358">
        <f t="shared" si="0"/>
        <v>248301.38519999996</v>
      </c>
      <c r="J19" s="358"/>
      <c r="K19" s="358">
        <f t="shared" si="0"/>
        <v>256991.93368199994</v>
      </c>
      <c r="L19" s="358"/>
      <c r="M19" s="358">
        <f t="shared" si="0"/>
        <v>265986.65136086993</v>
      </c>
      <c r="N19" s="358"/>
      <c r="O19" s="358">
        <f t="shared" si="0"/>
        <v>275296.18415850034</v>
      </c>
      <c r="P19" s="358"/>
      <c r="Q19" s="358">
        <f t="shared" si="0"/>
        <v>284931.55060404784</v>
      </c>
      <c r="R19" s="358"/>
      <c r="S19" s="358">
        <f t="shared" si="0"/>
        <v>294904.15487518947</v>
      </c>
      <c r="T19" s="358"/>
      <c r="U19" s="358">
        <f t="shared" si="0"/>
        <v>305225.8002958211</v>
      </c>
      <c r="V19" s="358"/>
      <c r="W19" s="358">
        <f t="shared" si="0"/>
        <v>315908.70330617484</v>
      </c>
      <c r="X19" s="358"/>
      <c r="Y19" s="358">
        <f t="shared" si="0"/>
        <v>326965.50792189094</v>
      </c>
      <c r="Z19" s="358"/>
      <c r="AA19" s="358">
        <f t="shared" si="0"/>
        <v>338409.30069915712</v>
      </c>
      <c r="AB19" s="358"/>
      <c r="AC19" s="358">
        <f t="shared" si="0"/>
        <v>350253.62622362759</v>
      </c>
      <c r="AD19" s="358"/>
      <c r="AE19" s="358">
        <f t="shared" si="0"/>
        <v>362512.50314145454</v>
      </c>
      <c r="AF19" s="358"/>
      <c r="AG19" s="358">
        <f t="shared" si="0"/>
        <v>375200.44075140543</v>
      </c>
    </row>
    <row r="20" spans="1:33" s="340" customFormat="1" ht="13.8">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3.8">
      <c r="A21" s="359" t="s">
        <v>909</v>
      </c>
      <c r="C21" s="369"/>
      <c r="E21" s="359">
        <f>SUM(E14:E20)</f>
        <v>770500</v>
      </c>
      <c r="G21" s="359">
        <f>SUM(G14:G20)</f>
        <v>797467.5</v>
      </c>
      <c r="I21" s="359">
        <f>SUM(I14:I20)</f>
        <v>825378.86249999981</v>
      </c>
      <c r="K21" s="359">
        <f>SUM(K14:K20)</f>
        <v>854267.12268749974</v>
      </c>
      <c r="M21" s="359">
        <f>SUM(M14:M20)</f>
        <v>884166.47198156221</v>
      </c>
      <c r="O21" s="359">
        <f>SUM(O14:O20)</f>
        <v>915112.29850091692</v>
      </c>
      <c r="Q21" s="359">
        <f>SUM(Q14:Q20)</f>
        <v>947141.22894844878</v>
      </c>
      <c r="S21" s="359">
        <f>SUM(S14:S20)</f>
        <v>980291.17196164443</v>
      </c>
      <c r="U21" s="359">
        <f>SUM(U14:U20)</f>
        <v>1014601.362980302</v>
      </c>
      <c r="W21" s="359">
        <f>SUM(W14:W20)</f>
        <v>1050112.4106846126</v>
      </c>
      <c r="Y21" s="359">
        <f>SUM(Y14:Y20)</f>
        <v>1086866.3450585739</v>
      </c>
      <c r="AA21" s="359">
        <f>SUM(AA14:AA20)</f>
        <v>1124906.6671356237</v>
      </c>
      <c r="AC21" s="359">
        <f>SUM(AC14:AC20)</f>
        <v>1164278.4004853708</v>
      </c>
      <c r="AE21" s="359">
        <f>SUM(AE14:AE20)</f>
        <v>1205028.1445023585</v>
      </c>
      <c r="AG21" s="359">
        <f>SUM(AG14:AG20)</f>
        <v>1247204.1295599409</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2172</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911</v>
      </c>
      <c r="C26" s="377">
        <v>1.0349999999999999</v>
      </c>
      <c r="E26" s="358">
        <f>Application!AC886</f>
        <v>26600</v>
      </c>
      <c r="F26" s="358"/>
      <c r="G26" s="358">
        <f>E26*$C$26</f>
        <v>27530.999999999996</v>
      </c>
      <c r="H26" s="358"/>
      <c r="I26" s="358">
        <f>G26*$C$26</f>
        <v>28494.584999999995</v>
      </c>
      <c r="J26" s="358"/>
      <c r="K26" s="358">
        <f>I26*$C$26</f>
        <v>29491.895474999994</v>
      </c>
      <c r="L26" s="358"/>
      <c r="M26" s="358">
        <f>K26*$C$26</f>
        <v>30524.111816624991</v>
      </c>
      <c r="N26" s="358"/>
      <c r="O26" s="358">
        <f>M26*$C$26</f>
        <v>31592.455730206864</v>
      </c>
      <c r="P26" s="358"/>
      <c r="Q26" s="358">
        <f>O26*$C$26</f>
        <v>32698.191680764103</v>
      </c>
      <c r="R26" s="358"/>
      <c r="S26" s="358">
        <f>Q26*$C$26</f>
        <v>33842.628389590842</v>
      </c>
      <c r="T26" s="358"/>
      <c r="U26" s="358">
        <f>S26*$C$26</f>
        <v>35027.120383226516</v>
      </c>
      <c r="V26" s="358"/>
      <c r="W26" s="358">
        <f>U26*$C$26</f>
        <v>36253.069596639441</v>
      </c>
      <c r="X26" s="358"/>
      <c r="Y26" s="358">
        <f>W26*$C$26</f>
        <v>37521.927032521817</v>
      </c>
      <c r="Z26" s="358"/>
      <c r="AA26" s="358">
        <f>Y26*$C$26</f>
        <v>38835.19447866008</v>
      </c>
      <c r="AB26" s="358"/>
      <c r="AC26" s="358">
        <f>AA26*$C$26</f>
        <v>40194.426285413181</v>
      </c>
      <c r="AD26" s="358"/>
      <c r="AE26" s="358">
        <f>AC26*$C$26</f>
        <v>41601.231205402641</v>
      </c>
      <c r="AF26" s="358"/>
      <c r="AG26" s="358">
        <f>AE26*$C$26</f>
        <v>43057.274297591728</v>
      </c>
    </row>
    <row r="27" spans="1:33" s="340" customFormat="1" ht="13.8">
      <c r="A27" s="340" t="s">
        <v>912</v>
      </c>
      <c r="C27" s="377"/>
      <c r="E27" s="358">
        <f>Application!AC887</f>
        <v>33500</v>
      </c>
      <c r="F27" s="358"/>
      <c r="G27" s="358">
        <f>$E$27</f>
        <v>33500</v>
      </c>
      <c r="H27" s="358"/>
      <c r="I27" s="358">
        <f>$E$27</f>
        <v>33500</v>
      </c>
      <c r="J27" s="358"/>
      <c r="K27" s="358">
        <f>$E$27</f>
        <v>33500</v>
      </c>
      <c r="L27" s="358"/>
      <c r="M27" s="358">
        <f>$E$27</f>
        <v>33500</v>
      </c>
      <c r="N27" s="358"/>
      <c r="O27" s="358">
        <f>$E$27</f>
        <v>33500</v>
      </c>
      <c r="P27" s="358"/>
      <c r="Q27" s="358">
        <f>$E$27</f>
        <v>33500</v>
      </c>
      <c r="R27" s="358"/>
      <c r="S27" s="358">
        <f>$E$27</f>
        <v>33500</v>
      </c>
      <c r="T27" s="358"/>
      <c r="U27" s="358">
        <f>$E$27</f>
        <v>33500</v>
      </c>
      <c r="V27" s="358"/>
      <c r="W27" s="358">
        <f>$E$27</f>
        <v>33500</v>
      </c>
      <c r="X27" s="358"/>
      <c r="Y27" s="358">
        <f>$E$27</f>
        <v>33500</v>
      </c>
      <c r="Z27" s="358"/>
      <c r="AA27" s="358">
        <f>$E$27</f>
        <v>33500</v>
      </c>
      <c r="AB27" s="358"/>
      <c r="AC27" s="358">
        <f>$E$27</f>
        <v>33500</v>
      </c>
      <c r="AD27" s="358"/>
      <c r="AE27" s="358">
        <f>$E$27</f>
        <v>33500</v>
      </c>
      <c r="AF27" s="358"/>
      <c r="AG27" s="358">
        <f>$E$27</f>
        <v>33500</v>
      </c>
    </row>
    <row r="28" spans="1:33" s="340" customFormat="1" ht="13.8">
      <c r="A28" s="340" t="s">
        <v>2170</v>
      </c>
      <c r="C28" s="375"/>
      <c r="E28" s="358">
        <f>Application!AC888</f>
        <v>13152</v>
      </c>
      <c r="F28" s="358"/>
      <c r="G28" s="358">
        <f>E28</f>
        <v>13152</v>
      </c>
      <c r="H28" s="358"/>
      <c r="I28" s="358">
        <f>G28</f>
        <v>13152</v>
      </c>
      <c r="J28" s="358"/>
      <c r="K28" s="358">
        <f>I28</f>
        <v>13152</v>
      </c>
      <c r="L28" s="358"/>
      <c r="M28" s="358">
        <f>K28</f>
        <v>13152</v>
      </c>
      <c r="N28" s="358"/>
      <c r="O28" s="358">
        <f>M28</f>
        <v>13152</v>
      </c>
      <c r="P28" s="358"/>
      <c r="Q28" s="358">
        <f>O28</f>
        <v>13152</v>
      </c>
      <c r="R28" s="358"/>
      <c r="S28" s="358">
        <f>Q28</f>
        <v>13152</v>
      </c>
      <c r="T28" s="358"/>
      <c r="U28" s="358">
        <f>S28</f>
        <v>13152</v>
      </c>
      <c r="V28" s="358"/>
      <c r="W28" s="358">
        <f>U28</f>
        <v>13152</v>
      </c>
      <c r="X28" s="358"/>
      <c r="Y28" s="358">
        <f>W28</f>
        <v>13152</v>
      </c>
      <c r="Z28" s="358"/>
      <c r="AA28" s="358">
        <f>Y28</f>
        <v>13152</v>
      </c>
      <c r="AB28" s="358"/>
      <c r="AC28" s="358">
        <f>AA28</f>
        <v>13152</v>
      </c>
      <c r="AD28" s="358"/>
      <c r="AE28" s="358">
        <f>AC28</f>
        <v>13152</v>
      </c>
      <c r="AF28" s="358"/>
      <c r="AG28" s="358">
        <f>AE28</f>
        <v>13152</v>
      </c>
    </row>
    <row r="29" spans="1:33" s="340" customFormat="1" ht="13.8">
      <c r="A29" s="340" t="s">
        <v>910</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3.8">
      <c r="A30" s="340" t="s">
        <v>2171</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843752</v>
      </c>
      <c r="G34" s="359">
        <f>SUM(G21:G32)</f>
        <v>871650.5</v>
      </c>
      <c r="I34" s="359">
        <f>SUM(I21:I32)</f>
        <v>900525.44749999978</v>
      </c>
      <c r="K34" s="359">
        <f>SUM(K21:K32)</f>
        <v>930411.01816249976</v>
      </c>
      <c r="M34" s="359">
        <f>SUM(M21:M32)</f>
        <v>961342.5837981872</v>
      </c>
      <c r="O34" s="359">
        <f>SUM(O21:O32)</f>
        <v>993356.75423112384</v>
      </c>
      <c r="Q34" s="359">
        <f>SUM(Q21:Q32)</f>
        <v>1026491.4206292129</v>
      </c>
      <c r="S34" s="359">
        <f>SUM(S21:S32)</f>
        <v>1060785.8003512353</v>
      </c>
      <c r="U34" s="359">
        <f>SUM(U21:U32)</f>
        <v>1096280.4833635285</v>
      </c>
      <c r="W34" s="359">
        <f>SUM(W21:W32)</f>
        <v>1133017.4802812519</v>
      </c>
      <c r="Y34" s="359">
        <f>SUM(Y21:Y32)</f>
        <v>1171040.2720910958</v>
      </c>
      <c r="AA34" s="359">
        <f>SUM(AA21:AA32)</f>
        <v>1210393.8616142839</v>
      </c>
      <c r="AC34" s="359">
        <f>SUM(AC21:AC32)</f>
        <v>1251124.8267707839</v>
      </c>
      <c r="AE34" s="359">
        <f>SUM(AE21:AE32)</f>
        <v>1293281.3757077612</v>
      </c>
      <c r="AG34" s="359">
        <f>SUM(AG21:AG32)</f>
        <v>1336913.4038575327</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913</v>
      </c>
      <c r="C36" s="360"/>
      <c r="E36" s="359">
        <f>E10-E34</f>
        <v>1643237.8000000003</v>
      </c>
      <c r="G36" s="359">
        <f>G10-G34</f>
        <v>1677514.0449999999</v>
      </c>
      <c r="I36" s="359">
        <f>I10-I34</f>
        <v>1712368.2111249994</v>
      </c>
      <c r="K36" s="359">
        <f>K10-K34</f>
        <v>1747804.9819281246</v>
      </c>
      <c r="M36" s="359">
        <f>M10-M34</f>
        <v>1783828.8162947022</v>
      </c>
      <c r="O36" s="359">
        <f>O10-O34</f>
        <v>1820443.9308640882</v>
      </c>
      <c r="Q36" s="359">
        <f>Q10-Q34</f>
        <v>1857654.2815933789</v>
      </c>
      <c r="S36" s="359">
        <f>S10-S34</f>
        <v>1895463.5444269211</v>
      </c>
      <c r="U36" s="359">
        <f>U10-U34</f>
        <v>1933875.0950340817</v>
      </c>
      <c r="W36" s="359">
        <f>W10-W34</f>
        <v>1972891.9875762979</v>
      </c>
      <c r="Y36" s="359">
        <f>Y10-Y34</f>
        <v>2012516.9324628925</v>
      </c>
      <c r="AA36" s="359">
        <f>AA10-AA34</f>
        <v>2052752.2730535541</v>
      </c>
      <c r="AC36" s="359">
        <f>AC10-AC34</f>
        <v>2093599.9612637497</v>
      </c>
      <c r="AE36" s="359">
        <f>AE10-AE34</f>
        <v>2135061.5320276348</v>
      </c>
      <c r="AG36" s="359">
        <f>AG10-AG34</f>
        <v>2177138.0765712485</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Citibank Permanent Loan</v>
      </c>
      <c r="B39" s="362"/>
      <c r="C39" s="356"/>
      <c r="E39" s="358">
        <f>Application!AF637</f>
        <v>1369365</v>
      </c>
      <c r="F39" s="358"/>
      <c r="G39" s="358">
        <f>$E$39</f>
        <v>1369365</v>
      </c>
      <c r="H39" s="358"/>
      <c r="I39" s="358">
        <f>$E$39</f>
        <v>1369365</v>
      </c>
      <c r="J39" s="358"/>
      <c r="K39" s="358">
        <f>$E$39</f>
        <v>1369365</v>
      </c>
      <c r="L39" s="358"/>
      <c r="M39" s="358">
        <f>$E$39</f>
        <v>1369365</v>
      </c>
      <c r="N39" s="358"/>
      <c r="O39" s="358">
        <f>$E$39</f>
        <v>1369365</v>
      </c>
      <c r="P39" s="358"/>
      <c r="Q39" s="358">
        <f>$E$39</f>
        <v>1369365</v>
      </c>
      <c r="R39" s="358"/>
      <c r="S39" s="358">
        <f>$E$39</f>
        <v>1369365</v>
      </c>
      <c r="T39" s="358"/>
      <c r="U39" s="358">
        <f>$E$39</f>
        <v>1369365</v>
      </c>
      <c r="V39" s="358"/>
      <c r="W39" s="358">
        <f>$E$39</f>
        <v>1369365</v>
      </c>
      <c r="X39" s="358"/>
      <c r="Y39" s="358">
        <f>$E$39</f>
        <v>1369365</v>
      </c>
      <c r="Z39" s="358"/>
      <c r="AA39" s="358">
        <f>$E$39</f>
        <v>1369365</v>
      </c>
      <c r="AB39" s="358"/>
      <c r="AC39" s="358">
        <f>$E$39</f>
        <v>1369365</v>
      </c>
      <c r="AD39" s="358"/>
      <c r="AE39" s="358">
        <f>$E$39</f>
        <v>1369365</v>
      </c>
      <c r="AF39" s="358"/>
      <c r="AG39" s="358">
        <f>$E$39</f>
        <v>1369365</v>
      </c>
    </row>
    <row r="40" spans="1:33" s="340" customFormat="1" ht="13.8">
      <c r="A40" s="361"/>
      <c r="B40" s="362"/>
      <c r="C40" s="356"/>
      <c r="E40" s="358">
        <v>0</v>
      </c>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914</v>
      </c>
      <c r="C42" s="360"/>
      <c r="E42" s="359">
        <f>SUM(E39:E41)</f>
        <v>1369365</v>
      </c>
      <c r="G42" s="359">
        <f>SUM(G39:G41)</f>
        <v>1369365</v>
      </c>
      <c r="I42" s="359">
        <f>SUM(I39:I41)</f>
        <v>1369365</v>
      </c>
      <c r="K42" s="359">
        <f>SUM(K39:K41)</f>
        <v>1369365</v>
      </c>
      <c r="M42" s="359">
        <f>SUM(M39:M41)</f>
        <v>1369365</v>
      </c>
      <c r="O42" s="359">
        <f>SUM(O39:O41)</f>
        <v>1369365</v>
      </c>
      <c r="Q42" s="359">
        <f>SUM(Q39:Q41)</f>
        <v>1369365</v>
      </c>
      <c r="S42" s="359">
        <f>SUM(S39:S41)</f>
        <v>1369365</v>
      </c>
      <c r="U42" s="359">
        <f>SUM(U39:U41)</f>
        <v>1369365</v>
      </c>
      <c r="W42" s="359">
        <f>SUM(W39:W41)</f>
        <v>1369365</v>
      </c>
      <c r="Y42" s="359">
        <f>SUM(Y39:Y41)</f>
        <v>1369365</v>
      </c>
      <c r="AA42" s="359">
        <f>SUM(AA39:AA41)</f>
        <v>1369365</v>
      </c>
      <c r="AC42" s="359">
        <f>SUM(AC39:AC41)</f>
        <v>1369365</v>
      </c>
      <c r="AE42" s="359">
        <f>SUM(AE39:AE41)</f>
        <v>1369365</v>
      </c>
      <c r="AG42" s="359">
        <f>SUM(AG39:AG41)</f>
        <v>1369365</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915</v>
      </c>
      <c r="C44" s="360"/>
      <c r="E44" s="359">
        <f>E36-E42</f>
        <v>273872.80000000028</v>
      </c>
      <c r="G44" s="359">
        <f>G36-G42</f>
        <v>308149.04499999993</v>
      </c>
      <c r="I44" s="359">
        <f>I36-I42</f>
        <v>343003.21112499945</v>
      </c>
      <c r="K44" s="359">
        <f>K36-K42</f>
        <v>378439.98192812456</v>
      </c>
      <c r="M44" s="359">
        <f>M36-M42</f>
        <v>414463.81629470224</v>
      </c>
      <c r="O44" s="359">
        <f>O36-O42</f>
        <v>451078.93086408824</v>
      </c>
      <c r="Q44" s="359">
        <f>Q36-Q42</f>
        <v>488289.28159337887</v>
      </c>
      <c r="S44" s="359">
        <f>S36-S42</f>
        <v>526098.54442692106</v>
      </c>
      <c r="U44" s="359">
        <f>U36-U42</f>
        <v>564510.09503408172</v>
      </c>
      <c r="W44" s="359">
        <f>W36-W42</f>
        <v>603526.98757629795</v>
      </c>
      <c r="Y44" s="359">
        <f>Y36-Y42</f>
        <v>643151.9324628925</v>
      </c>
      <c r="AA44" s="359">
        <f>AA36-AA42</f>
        <v>683387.27305355412</v>
      </c>
      <c r="AC44" s="359">
        <f>AC36-AC42</f>
        <v>724234.96126374975</v>
      </c>
      <c r="AE44" s="359">
        <f>AE36-AE42</f>
        <v>765696.53202763479</v>
      </c>
      <c r="AG44" s="359">
        <f>AG36-AG42</f>
        <v>807773.07657124847</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917</v>
      </c>
      <c r="C46" s="356"/>
      <c r="E46" s="363">
        <f>E44/(E4+E6+E8)</f>
        <v>0.1046160945251968</v>
      </c>
      <c r="G46" s="363">
        <f>G44/(G4+G6+G8)</f>
        <v>0.11483824899580969</v>
      </c>
      <c r="I46" s="363">
        <f>I44/(I4+I6+I8)</f>
        <v>0.12470964881908944</v>
      </c>
      <c r="K46" s="363">
        <f>K44/(K4+K6+K8)</f>
        <v>0.13423785938832161</v>
      </c>
      <c r="M46" s="363">
        <f>M44/(M4+M6+M8)</f>
        <v>0.14343025192038791</v>
      </c>
      <c r="O46" s="363">
        <f>O44/(O4+O6+O8)</f>
        <v>0.15229400809758623</v>
      </c>
      <c r="Q46" s="363">
        <f>Q44/(Q4+Q6+Q8)</f>
        <v>0.16083612459531321</v>
      </c>
      <c r="S46" s="363">
        <f>S44/(S4+S6+S8)</f>
        <v>0.16906341749839124</v>
      </c>
      <c r="U46" s="363">
        <f>U44/(U4+U6+U8)</f>
        <v>0.17698252660874023</v>
      </c>
      <c r="W46" s="363">
        <f>W44/(W4+W6+W8)</f>
        <v>0.18459991964703953</v>
      </c>
      <c r="Y46" s="363">
        <f>Y44/(Y4+Y6+Y8)</f>
        <v>0.19192189635095538</v>
      </c>
      <c r="AA46" s="363">
        <f>AA44/(AA4+AA6+AA8)</f>
        <v>0.19895459247244579</v>
      </c>
      <c r="AC46" s="363">
        <f>AC44/(AC4+AC6+AC8)</f>
        <v>0.20570398367659617</v>
      </c>
      <c r="AE46" s="363">
        <f>AE44/(AE4+AE6+AE8)</f>
        <v>0.21217588934437931</v>
      </c>
      <c r="AG46" s="363">
        <f>AG44/(AG4+AG6+AG8)</f>
        <v>0.21837597628167091</v>
      </c>
    </row>
    <row r="47" spans="1:33" s="363" customFormat="1" ht="13.8">
      <c r="A47" s="363" t="s">
        <v>918</v>
      </c>
      <c r="C47" s="356"/>
      <c r="E47" s="363">
        <f>E44/E42</f>
        <v>0.19999985394690259</v>
      </c>
      <c r="G47" s="363">
        <f>G44/G42</f>
        <v>0.22503061272925767</v>
      </c>
      <c r="I47" s="363">
        <f>I44/I42</f>
        <v>0.25048340736399677</v>
      </c>
      <c r="K47" s="363">
        <f>K44/K42</f>
        <v>0.27636165808832897</v>
      </c>
      <c r="M47" s="363">
        <f>M44/M42</f>
        <v>0.30266862107232345</v>
      </c>
      <c r="O47" s="363">
        <f>O44/O42</f>
        <v>0.32940737558217731</v>
      </c>
      <c r="Q47" s="363">
        <f>Q44/Q42</f>
        <v>0.35658081051682999</v>
      </c>
      <c r="S47" s="363">
        <f>S44/S42</f>
        <v>0.38419161029157389</v>
      </c>
      <c r="U47" s="363">
        <f>U44/U42</f>
        <v>0.41224224004124665</v>
      </c>
      <c r="W47" s="363">
        <f>W44/W42</f>
        <v>0.44073493011454062</v>
      </c>
      <c r="Y47" s="363">
        <f>Y44/Y42</f>
        <v>0.46967165982984266</v>
      </c>
      <c r="AA47" s="363">
        <f>AA44/AA42</f>
        <v>0.49905414046185942</v>
      </c>
      <c r="AC47" s="363">
        <f>AC44/AC42</f>
        <v>0.52888379742709191</v>
      </c>
      <c r="AE47" s="363">
        <f>AE44/AE42</f>
        <v>0.55916175163498028</v>
      </c>
      <c r="AG47" s="363">
        <f>AG44/AG42</f>
        <v>0.58988879997024057</v>
      </c>
    </row>
    <row r="48" spans="1:33" s="364" customFormat="1" ht="13.8">
      <c r="A48" s="364" t="s">
        <v>916</v>
      </c>
      <c r="C48" s="365"/>
      <c r="E48" s="364">
        <f>E36/E42</f>
        <v>1.1999998539469026</v>
      </c>
      <c r="G48" s="364">
        <f>G36/G42</f>
        <v>1.2250306127292576</v>
      </c>
      <c r="I48" s="364">
        <f>I36/I42</f>
        <v>1.2504834073639968</v>
      </c>
      <c r="K48" s="364">
        <f>K36/K42</f>
        <v>1.276361658088329</v>
      </c>
      <c r="M48" s="364">
        <f>M36/M42</f>
        <v>1.3026686210723235</v>
      </c>
      <c r="O48" s="364">
        <f>O36/O42</f>
        <v>1.3294073755821774</v>
      </c>
      <c r="Q48" s="364">
        <f>Q36/Q42</f>
        <v>1.35658081051683</v>
      </c>
      <c r="S48" s="364">
        <f>S36/S42</f>
        <v>1.3841916102915739</v>
      </c>
      <c r="U48" s="364">
        <f>U36/U42</f>
        <v>1.4122422400412467</v>
      </c>
      <c r="W48" s="364">
        <f>W36/W42</f>
        <v>1.4407349301145407</v>
      </c>
      <c r="Y48" s="364">
        <f>Y36/Y42</f>
        <v>1.4696716598298427</v>
      </c>
      <c r="AA48" s="364">
        <f>AA36/AA42</f>
        <v>1.4990541404618594</v>
      </c>
      <c r="AC48" s="364">
        <f>AC36/AC42</f>
        <v>1.5288837974270919</v>
      </c>
      <c r="AE48" s="364">
        <f>AE36/AE42</f>
        <v>1.5591617516349803</v>
      </c>
      <c r="AG48" s="364">
        <f>AG36/AG42</f>
        <v>1.5898887999702405</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2" t="s">
        <v>1387</v>
      </c>
      <c r="B51" s="3352"/>
      <c r="C51" s="335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1.03</v>
      </c>
      <c r="E52" s="1682">
        <v>13400</v>
      </c>
      <c r="G52" s="1678">
        <f>E52*$C$52</f>
        <v>13802</v>
      </c>
      <c r="I52" s="1678">
        <f>G52*$C$52</f>
        <v>14216.06</v>
      </c>
      <c r="K52" s="1678">
        <f>I52*$C$52</f>
        <v>14642.541799999999</v>
      </c>
      <c r="M52" s="1678">
        <f>K52*$C$52</f>
        <v>15081.818053999999</v>
      </c>
      <c r="O52" s="1678">
        <f>M52*$C$52</f>
        <v>15534.272595619999</v>
      </c>
      <c r="Q52" s="1678">
        <f>O52</f>
        <v>15534.272595619999</v>
      </c>
      <c r="S52" s="1678">
        <f>Q52</f>
        <v>15534.272595619999</v>
      </c>
      <c r="U52" s="1678">
        <f>S52</f>
        <v>15534.272595619999</v>
      </c>
      <c r="W52" s="1678">
        <f>U52</f>
        <v>15534.272595619999</v>
      </c>
      <c r="Y52" s="1678">
        <f>W52*$C$52</f>
        <v>16000.3007734886</v>
      </c>
      <c r="AA52" s="1678">
        <f>Y52</f>
        <v>16000.3007734886</v>
      </c>
      <c r="AC52" s="1678">
        <f>AA52</f>
        <v>16000.3007734886</v>
      </c>
      <c r="AE52" s="1678">
        <f>AC52</f>
        <v>16000.3007734886</v>
      </c>
      <c r="AG52" s="1678">
        <f>AE52</f>
        <v>16000.3007734886</v>
      </c>
    </row>
    <row r="53" spans="1:35" s="6" customFormat="1">
      <c r="A53" s="6" t="s">
        <v>921</v>
      </c>
      <c r="C53" s="1676">
        <v>1.0349999999999999</v>
      </c>
      <c r="E53" s="1683">
        <v>5000</v>
      </c>
      <c r="F53" s="1678"/>
      <c r="G53" s="1678">
        <f>E53*$C$53</f>
        <v>5175</v>
      </c>
      <c r="H53" s="1678"/>
      <c r="I53" s="1678">
        <f>G53*$C$53</f>
        <v>5356.125</v>
      </c>
      <c r="J53" s="1678"/>
      <c r="K53" s="1678">
        <f>I53*$C$53</f>
        <v>5543.5893749999996</v>
      </c>
      <c r="L53" s="1678"/>
      <c r="M53" s="1678">
        <f>K53*$C$53</f>
        <v>5737.615003124999</v>
      </c>
      <c r="N53" s="1678"/>
      <c r="O53" s="1678">
        <f>M53*$C$53</f>
        <v>5938.4315282343732</v>
      </c>
      <c r="P53" s="1678"/>
      <c r="Q53" s="1678">
        <f>O53*$C$53</f>
        <v>6146.276631722576</v>
      </c>
      <c r="R53" s="1678"/>
      <c r="S53" s="1678">
        <f>Q53*$C$53</f>
        <v>6361.3963138328654</v>
      </c>
      <c r="T53" s="1678"/>
      <c r="U53" s="1678">
        <f>S53*$C$53</f>
        <v>6584.0451848170151</v>
      </c>
      <c r="V53" s="1678"/>
      <c r="W53" s="1678">
        <f>U53*$C$53</f>
        <v>6814.4867662856104</v>
      </c>
      <c r="X53" s="1678"/>
      <c r="Y53" s="1678">
        <f>W53*$C$53</f>
        <v>7052.9938031056063</v>
      </c>
      <c r="Z53" s="1678"/>
      <c r="AA53" s="1678">
        <f>Y53*$C$53</f>
        <v>7299.8485862143016</v>
      </c>
      <c r="AB53" s="1678"/>
      <c r="AC53" s="1678">
        <f>AA53*$C$53</f>
        <v>7555.3432867318015</v>
      </c>
      <c r="AD53" s="1678"/>
      <c r="AE53" s="1678">
        <f>AC53*$C$53</f>
        <v>7819.7803017674141</v>
      </c>
      <c r="AF53" s="1678"/>
      <c r="AG53" s="1678">
        <f>AE53*$C$53</f>
        <v>8093.472612329273</v>
      </c>
      <c r="AH53" s="1678"/>
      <c r="AI53" s="1678"/>
    </row>
    <row r="54" spans="1:35" s="6" customFormat="1">
      <c r="A54" s="6" t="s">
        <v>922</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18400</v>
      </c>
      <c r="F57" s="1678"/>
      <c r="G57" s="1678">
        <f>SUM(G52:G56)</f>
        <v>18977</v>
      </c>
      <c r="H57" s="1678"/>
      <c r="I57" s="1678">
        <f>SUM(I52:I56)</f>
        <v>19572.184999999998</v>
      </c>
      <c r="J57" s="1678"/>
      <c r="K57" s="1678">
        <f>SUM(K52:K56)</f>
        <v>20186.131174999999</v>
      </c>
      <c r="L57" s="1678"/>
      <c r="M57" s="1678">
        <f>SUM(M52:M56)</f>
        <v>20819.433057124999</v>
      </c>
      <c r="N57" s="1678"/>
      <c r="O57" s="1678">
        <f>SUM(O52:O56)</f>
        <v>21472.704123854372</v>
      </c>
      <c r="P57" s="1678"/>
      <c r="Q57" s="1678">
        <f>SUM(Q52:Q56)</f>
        <v>21680.549227342577</v>
      </c>
      <c r="R57" s="1678"/>
      <c r="S57" s="1678">
        <f>SUM(S52:S56)</f>
        <v>21895.668909452863</v>
      </c>
      <c r="T57" s="1678"/>
      <c r="U57" s="1678">
        <f>SUM(U52:U56)</f>
        <v>22118.317780437013</v>
      </c>
      <c r="V57" s="1678"/>
      <c r="W57" s="1678">
        <f>SUM(W52:W56)</f>
        <v>22348.75936190561</v>
      </c>
      <c r="X57" s="1678"/>
      <c r="Y57" s="1678">
        <f>SUM(Y52:Y56)</f>
        <v>23053.294576594206</v>
      </c>
      <c r="Z57" s="1678"/>
      <c r="AA57" s="1678">
        <f>SUM(AA52:AA56)</f>
        <v>23300.1493597029</v>
      </c>
      <c r="AB57" s="1678"/>
      <c r="AC57" s="1678">
        <f>SUM(AC52:AC56)</f>
        <v>23555.644060220402</v>
      </c>
      <c r="AD57" s="1678"/>
      <c r="AE57" s="1678">
        <f>SUM(AE52:AE56)</f>
        <v>23820.081075256014</v>
      </c>
      <c r="AF57" s="1678"/>
      <c r="AG57" s="1678">
        <f>SUM(AG52:AG56)</f>
        <v>24093.773385817873</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255472.80000000028</v>
      </c>
      <c r="G59" s="1680">
        <f>G44-G57</f>
        <v>289172.04499999993</v>
      </c>
      <c r="I59" s="1680">
        <f>I44-I57</f>
        <v>323431.02612499945</v>
      </c>
      <c r="K59" s="1680">
        <f>K44-K57</f>
        <v>358253.85075312457</v>
      </c>
      <c r="M59" s="1680">
        <f>M44-M57</f>
        <v>393644.38323757722</v>
      </c>
      <c r="O59" s="1680">
        <f>O44-O57</f>
        <v>429606.22674023389</v>
      </c>
      <c r="Q59" s="1680">
        <f>Q44-Q57</f>
        <v>466608.73236603627</v>
      </c>
      <c r="S59" s="1680">
        <f>S44-S57</f>
        <v>504202.8755174682</v>
      </c>
      <c r="U59" s="1680">
        <f>U44-U57</f>
        <v>542391.77725364466</v>
      </c>
      <c r="W59" s="1680">
        <f>W44-W57</f>
        <v>581178.22821439232</v>
      </c>
      <c r="Y59" s="1680">
        <f>Y44-Y57</f>
        <v>620098.63788629824</v>
      </c>
      <c r="AA59" s="1680">
        <f>AA44-AA57</f>
        <v>660087.12369385117</v>
      </c>
      <c r="AC59" s="1680">
        <f>AC44-AC57</f>
        <v>700679.3172035293</v>
      </c>
      <c r="AE59" s="1680">
        <f>AE44-AE57</f>
        <v>741876.4509523788</v>
      </c>
      <c r="AG59" s="1680">
        <f>AG44-AG57</f>
        <v>783679.30318543059</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255472.80000000028</v>
      </c>
      <c r="G61" s="1688">
        <f>G59*$C$61</f>
        <v>289172.04499999993</v>
      </c>
      <c r="H61" s="1688"/>
      <c r="I61" s="1688">
        <f>I59*$C$61</f>
        <v>323431.02612499945</v>
      </c>
      <c r="J61" s="1688"/>
      <c r="K61" s="1688">
        <f>K59*$C$61</f>
        <v>358253.85075312457</v>
      </c>
      <c r="L61" s="1688"/>
      <c r="M61" s="1688">
        <f>M59*$C$61</f>
        <v>393644.38323757722</v>
      </c>
      <c r="N61" s="1688"/>
      <c r="O61" s="1688">
        <f>O59*$C$61</f>
        <v>429606.22674023389</v>
      </c>
      <c r="P61" s="1688"/>
      <c r="Q61" s="1688">
        <f>Q59*$C$61</f>
        <v>466608.73236603627</v>
      </c>
      <c r="R61" s="1688"/>
      <c r="S61" s="1688">
        <f>S59*$C$61</f>
        <v>504202.8755174682</v>
      </c>
      <c r="T61" s="1688"/>
      <c r="U61" s="1688">
        <f>U59*$C$61</f>
        <v>542391.77725364466</v>
      </c>
      <c r="V61" s="1688"/>
      <c r="W61" s="1688">
        <f>W59*$C$61</f>
        <v>581178.22821439232</v>
      </c>
      <c r="Y61" s="1688">
        <f>Y59*$C$61</f>
        <v>620098.63788629824</v>
      </c>
      <c r="AA61" s="1688">
        <f>AA59*$C$61</f>
        <v>660087.12369385117</v>
      </c>
      <c r="AC61" s="1688">
        <v>602841</v>
      </c>
      <c r="AE61" s="1688">
        <v>0</v>
      </c>
      <c r="AG61" s="1688">
        <v>0</v>
      </c>
    </row>
    <row r="62" spans="1:35" s="1688" customFormat="1">
      <c r="A62" s="3352" t="s">
        <v>1387</v>
      </c>
      <c r="B62" s="3352"/>
      <c r="C62" s="3352"/>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2235</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97838.317203529296</v>
      </c>
      <c r="AE71" s="1680">
        <f>AE59-AE61-AE69</f>
        <v>741876.4509523788</v>
      </c>
      <c r="AG71" s="1680">
        <f>AG59-AG61-AG69</f>
        <v>783679.30318543059</v>
      </c>
    </row>
    <row r="72" spans="1:33" s="1678" customFormat="1">
      <c r="A72" s="917"/>
      <c r="C72" s="1691"/>
    </row>
    <row r="73" spans="1:33" s="352" customFormat="1">
      <c r="A73" s="917"/>
      <c r="C73" s="353"/>
    </row>
    <row r="74" spans="1:33" s="352" customFormat="1">
      <c r="A74" s="1678" t="s">
        <v>2234</v>
      </c>
      <c r="C74" s="353"/>
    </row>
    <row r="75" spans="1:33" s="352" customFormat="1">
      <c r="C75" s="353"/>
    </row>
    <row r="76" spans="1:33" s="371" customFormat="1" ht="30" customHeight="1">
      <c r="A76" s="3350" t="s">
        <v>2233</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53" t="s">
        <v>982</v>
      </c>
      <c r="B1" s="3353"/>
      <c r="C1" s="3353"/>
      <c r="D1" s="3353"/>
      <c r="E1" s="3353"/>
      <c r="F1" s="3353"/>
      <c r="G1" s="3353"/>
      <c r="H1" s="3353"/>
      <c r="I1" s="3353"/>
      <c r="J1" s="326"/>
      <c r="K1" s="326"/>
    </row>
    <row r="2" spans="1:11">
      <c r="A2" s="656"/>
      <c r="B2" s="656"/>
      <c r="C2" s="656"/>
      <c r="D2" s="656"/>
      <c r="E2" s="656"/>
      <c r="F2" s="656"/>
      <c r="G2" s="656"/>
      <c r="H2" s="656"/>
      <c r="I2" s="656"/>
    </row>
    <row r="3" spans="1:11" ht="82.8">
      <c r="A3" s="657" t="s">
        <v>983</v>
      </c>
      <c r="B3" s="657" t="s">
        <v>984</v>
      </c>
      <c r="C3" s="475" t="s">
        <v>985</v>
      </c>
      <c r="D3" s="384"/>
      <c r="E3" s="475" t="s">
        <v>986</v>
      </c>
      <c r="F3" s="657" t="s">
        <v>987</v>
      </c>
      <c r="G3" s="658"/>
      <c r="H3" s="657" t="s">
        <v>988</v>
      </c>
      <c r="I3" s="657" t="s">
        <v>989</v>
      </c>
      <c r="J3" s="326"/>
      <c r="K3" s="474"/>
    </row>
    <row r="4" spans="1:11">
      <c r="A4" s="659" t="str">
        <f>Application!B728</f>
        <v>2 Bedrooms</v>
      </c>
      <c r="B4" s="668">
        <f>Application!G728</f>
        <v>4</v>
      </c>
      <c r="C4" s="659">
        <f>Application!O728</f>
        <v>1676</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1</v>
      </c>
      <c r="C5" s="659">
        <f>Application!O729</f>
        <v>1164</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1</v>
      </c>
      <c r="C6" s="659">
        <f>Application!O730</f>
        <v>653</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52</v>
      </c>
      <c r="C7" s="659">
        <f>Application!O731</f>
        <v>1929</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49</v>
      </c>
      <c r="C8" s="659">
        <f>Application!O732</f>
        <v>1634</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13</v>
      </c>
      <c r="C9" s="659">
        <f>Application!O733</f>
        <v>1338</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13</v>
      </c>
      <c r="C10" s="659">
        <f>Application!O734</f>
        <v>748</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990</v>
      </c>
      <c r="B30" s="664"/>
      <c r="C30" s="665">
        <f>Application!T753</f>
        <v>216013</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1053</v>
      </c>
    </row>
    <row r="2" spans="1:1" ht="15.6">
      <c r="A2" s="490"/>
    </row>
    <row r="3" spans="1:1" ht="15.6">
      <c r="A3" s="491" t="s">
        <v>1048</v>
      </c>
    </row>
    <row r="4" spans="1:1" ht="15.6">
      <c r="A4" s="491" t="s">
        <v>1049</v>
      </c>
    </row>
    <row r="5" spans="1:1" ht="15.6">
      <c r="A5" s="491" t="s">
        <v>1050</v>
      </c>
    </row>
    <row r="6" spans="1:1" ht="15.6">
      <c r="A6" s="491" t="s">
        <v>1052</v>
      </c>
    </row>
    <row r="7" spans="1:1" ht="15.6">
      <c r="A7" s="491" t="s">
        <v>1051</v>
      </c>
    </row>
    <row r="8" spans="1:1" ht="15.6">
      <c r="A8" s="539" t="s">
        <v>1140</v>
      </c>
    </row>
    <row r="9" spans="1:1" ht="15.6">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4050000</v>
      </c>
      <c r="C5" s="422">
        <f>'Sources and Uses Budget'!$C4</f>
        <v>4050000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4050000</v>
      </c>
      <c r="C9" s="426">
        <f>SUM(C5:C8)</f>
        <v>4050000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150000</v>
      </c>
      <c r="C11" s="422">
        <f>'Sources and Uses Budget'!$C10</f>
        <v>150000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150000</v>
      </c>
      <c r="C12" s="426">
        <f>SUM(C10:C11)</f>
        <v>150000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4200000</v>
      </c>
      <c r="C13" s="426">
        <f>SUM(C9+C12)</f>
        <v>4200000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204437</v>
      </c>
      <c r="C28" s="422">
        <f>'Sources and Uses Budget'!$C$27</f>
        <v>204437</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3073000</v>
      </c>
      <c r="C30" s="422">
        <f>'Sources and Uses Budget'!$C29</f>
        <v>3073000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27827961</v>
      </c>
      <c r="C31" s="422">
        <f>'Sources and Uses Budget'!$C30</f>
        <v>27827961</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1242038</v>
      </c>
      <c r="C32" s="422">
        <f>'Sources and Uses Budget'!$C31</f>
        <v>1242038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1863058</v>
      </c>
      <c r="C33" s="422">
        <f>'Sources and Uses Budget'!$C32</f>
        <v>1863058</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1242038</v>
      </c>
      <c r="C34" s="422">
        <f>'Sources and Uses Budget'!$C33</f>
        <v>1242038</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530971</v>
      </c>
      <c r="C36" s="422">
        <f>'Sources and Uses Budget'!$C35</f>
        <v>530971</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(Payment &amp; Performance bonds)</v>
      </c>
      <c r="B38" s="422">
        <f>'Sources and Uses Budget'!$C37</f>
        <v>707962</v>
      </c>
      <c r="C38" s="422">
        <f>'Sources and Uses Budget'!$C37</f>
        <v>707962</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36487028</v>
      </c>
      <c r="C39" s="426">
        <f>SUM(C30:C38)</f>
        <v>36487028</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940000</v>
      </c>
      <c r="C41" s="422">
        <f>'Sources and Uses Budget'!$C40</f>
        <v>940000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940000</v>
      </c>
      <c r="C43" s="426">
        <f>SUM(C41:C42)</f>
        <v>940000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500000</v>
      </c>
      <c r="C44" s="422">
        <f>'Sources and Uses Budget'!$C43</f>
        <v>500000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2650665.3333333335</v>
      </c>
      <c r="C46" s="422">
        <f>'Sources and Uses Budget'!$C45</f>
        <v>2650665.3333333335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524218</v>
      </c>
      <c r="C47" s="422">
        <f>'Sources and Uses Budget'!$C46</f>
        <v>524218</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60000</v>
      </c>
      <c r="C52" s="422">
        <f>'Sources and Uses Budget'!$C51</f>
        <v>60000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286098</v>
      </c>
      <c r="C53" s="422">
        <f>'Sources and Uses Budget'!$C52</f>
        <v>286098</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(Lender inspection Fee)</v>
      </c>
      <c r="B54" s="422">
        <f>'Sources and Uses Budget'!$C53</f>
        <v>45000</v>
      </c>
      <c r="C54" s="422">
        <f>'Sources and Uses Budget'!$C53</f>
        <v>45000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3615981.3333333335</v>
      </c>
      <c r="C55" s="429">
        <f>SUM(C46:C54)</f>
        <v>3615981.3333333335</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(Issuer Fee+0ther)</v>
      </c>
      <c r="B62" s="422">
        <f>'Sources and Uses Budget'!$C61</f>
        <v>206582</v>
      </c>
      <c r="C62" s="422">
        <f>'Sources and Uses Budget'!$C61</f>
        <v>206582</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311</v>
      </c>
      <c r="B63" s="426">
        <f>SUM(B57:B62)</f>
        <v>216582</v>
      </c>
      <c r="C63" s="426">
        <f>SUM(C57:C62)</f>
        <v>216582</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46164028.333333336</v>
      </c>
      <c r="C64" s="426">
        <f>SUM(C9+C12+C14+C15+C17+C26+C28+C39+C43+C44+C55+C63)</f>
        <v>46164028.333333336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332500</v>
      </c>
      <c r="C66" s="422">
        <f>'Sources and Uses Budget'!$C65</f>
        <v>332500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332500</v>
      </c>
      <c r="C71" s="426">
        <f>SUM(C66:C70)</f>
        <v>332500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717672</v>
      </c>
      <c r="C76" s="422">
        <f>'Sources and Uses Budget'!$C75</f>
        <v>717672</v>
      </c>
      <c r="D76" s="426">
        <f t="shared" si="0"/>
        <v>0</v>
      </c>
      <c r="E76" s="424"/>
      <c r="F76" s="423"/>
      <c r="G76" s="554"/>
    </row>
    <row r="77" spans="1:253" s="548" customFormat="1">
      <c r="A77" s="428" t="s">
        <v>35</v>
      </c>
      <c r="B77" s="422">
        <f>'Sources and Uses Budget'!$C76</f>
        <v>33500</v>
      </c>
      <c r="C77" s="422">
        <f>'Sources and Uses Budget'!$C76</f>
        <v>33500</v>
      </c>
      <c r="D77" s="426">
        <f t="shared" si="0"/>
        <v>0</v>
      </c>
      <c r="E77" s="424"/>
      <c r="F77" s="423"/>
      <c r="G77" s="554"/>
    </row>
    <row r="78" spans="1:253" s="548" customFormat="1">
      <c r="A78" s="427" t="s">
        <v>642</v>
      </c>
      <c r="B78" s="426">
        <f>SUM(B73:B77)</f>
        <v>751172</v>
      </c>
      <c r="C78" s="426">
        <f>SUM(C73:C77)</f>
        <v>751172</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1831851</v>
      </c>
      <c r="C80" s="422">
        <f>'Sources and Uses Budget'!$C79</f>
        <v>1831851</v>
      </c>
      <c r="D80" s="426">
        <f t="shared" si="1"/>
        <v>0</v>
      </c>
      <c r="E80" s="424"/>
      <c r="F80" s="423"/>
      <c r="G80" s="554"/>
    </row>
    <row r="81" spans="1:7" s="548" customFormat="1">
      <c r="A81" s="863" t="s">
        <v>61</v>
      </c>
      <c r="B81" s="422">
        <f>'Sources and Uses Budget'!$C80</f>
        <v>572122</v>
      </c>
      <c r="C81" s="422">
        <f>'Sources and Uses Budget'!$C80</f>
        <v>572122</v>
      </c>
      <c r="D81" s="426">
        <f>C81-B81</f>
        <v>0</v>
      </c>
      <c r="E81" s="424"/>
      <c r="F81" s="423"/>
      <c r="G81" s="554"/>
    </row>
    <row r="82" spans="1:7" s="548" customFormat="1">
      <c r="A82" s="427" t="s">
        <v>1426</v>
      </c>
      <c r="B82" s="426">
        <f>SUM(B80:B81)</f>
        <v>2403973</v>
      </c>
      <c r="C82" s="426">
        <f>SUM(C80:C81)</f>
        <v>2403973</v>
      </c>
      <c r="D82" s="426">
        <f t="shared" si="1"/>
        <v>0</v>
      </c>
      <c r="E82" s="424"/>
      <c r="F82" s="423"/>
      <c r="G82" s="554"/>
    </row>
    <row r="83" spans="1:7" s="548" customFormat="1">
      <c r="A83" s="420" t="s">
        <v>826</v>
      </c>
      <c r="B83" s="420"/>
      <c r="C83" s="420"/>
      <c r="D83" s="420"/>
      <c r="E83" s="440"/>
      <c r="F83" s="420"/>
      <c r="G83" s="554"/>
    </row>
    <row r="84" spans="1:7" s="548" customFormat="1" ht="13.65" customHeight="1">
      <c r="A84" s="425" t="s">
        <v>827</v>
      </c>
      <c r="B84" s="422">
        <f>'Sources and Uses Budget'!$C83</f>
        <v>86396</v>
      </c>
      <c r="C84" s="422">
        <f>'Sources and Uses Budget'!$C83</f>
        <v>86396</v>
      </c>
      <c r="D84" s="426">
        <f t="shared" si="1"/>
        <v>0</v>
      </c>
      <c r="E84" s="424"/>
      <c r="F84" s="423"/>
      <c r="G84" s="554"/>
    </row>
    <row r="85" spans="1:7" s="548" customFormat="1">
      <c r="A85" s="425" t="s">
        <v>828</v>
      </c>
      <c r="B85" s="422">
        <f>'Sources and Uses Budget'!$C84</f>
        <v>45000</v>
      </c>
      <c r="C85" s="422">
        <f>'Sources and Uses Budget'!$C84</f>
        <v>45000</v>
      </c>
      <c r="D85" s="426">
        <f t="shared" si="1"/>
        <v>0</v>
      </c>
      <c r="E85" s="424"/>
      <c r="F85" s="423"/>
      <c r="G85" s="554"/>
    </row>
    <row r="86" spans="1:7" s="548" customFormat="1">
      <c r="A86" s="425" t="s">
        <v>829</v>
      </c>
      <c r="B86" s="422">
        <f>'Sources and Uses Budget'!$C85</f>
        <v>5746512</v>
      </c>
      <c r="C86" s="422">
        <f>'Sources and Uses Budget'!$C85</f>
        <v>5746512</v>
      </c>
      <c r="D86" s="426">
        <f t="shared" si="1"/>
        <v>0</v>
      </c>
      <c r="E86" s="424"/>
      <c r="F86" s="423"/>
      <c r="G86" s="554"/>
    </row>
    <row r="87" spans="1:7" s="548" customFormat="1">
      <c r="A87" s="425" t="s">
        <v>830</v>
      </c>
      <c r="B87" s="422">
        <f>'Sources and Uses Budget'!$C86</f>
        <v>335000</v>
      </c>
      <c r="C87" s="422">
        <f>'Sources and Uses Budget'!$C86</f>
        <v>335000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38000</v>
      </c>
      <c r="C89" s="422">
        <f>'Sources and Uses Budget'!$C88</f>
        <v>38000</v>
      </c>
      <c r="D89" s="426">
        <f t="shared" si="1"/>
        <v>0</v>
      </c>
      <c r="E89" s="424"/>
      <c r="F89" s="423"/>
      <c r="G89" s="554"/>
    </row>
    <row r="90" spans="1:7" s="548" customFormat="1">
      <c r="A90" s="425" t="s">
        <v>833</v>
      </c>
      <c r="B90" s="422">
        <f>'Sources and Uses Budget'!$C89</f>
        <v>25000</v>
      </c>
      <c r="C90" s="422">
        <f>'Sources and Uses Budget'!$C89</f>
        <v>25000</v>
      </c>
      <c r="D90" s="426">
        <f t="shared" si="1"/>
        <v>0</v>
      </c>
      <c r="E90" s="424"/>
      <c r="F90" s="423"/>
      <c r="G90" s="554"/>
    </row>
    <row r="91" spans="1:7" s="548" customFormat="1">
      <c r="A91" s="425" t="s">
        <v>834</v>
      </c>
      <c r="B91" s="422">
        <f>'Sources and Uses Budget'!$C90</f>
        <v>20000</v>
      </c>
      <c r="C91" s="422">
        <f>'Sources and Uses Budget'!$C90</f>
        <v>20000</v>
      </c>
      <c r="D91" s="426">
        <f t="shared" si="1"/>
        <v>0</v>
      </c>
      <c r="E91" s="424"/>
      <c r="F91" s="423"/>
      <c r="G91" s="554"/>
    </row>
    <row r="92" spans="1:7" s="548" customFormat="1">
      <c r="A92" s="431" t="s">
        <v>392</v>
      </c>
      <c r="B92" s="422">
        <f>'Sources and Uses Budget'!$C91</f>
        <v>132500</v>
      </c>
      <c r="C92" s="422">
        <f>'Sources and Uses Budget'!$C91</f>
        <v>132500</v>
      </c>
      <c r="D92" s="426">
        <f t="shared" si="1"/>
        <v>0</v>
      </c>
      <c r="E92" s="424"/>
      <c r="F92" s="423"/>
      <c r="G92" s="554"/>
    </row>
    <row r="93" spans="1:7" s="548" customFormat="1">
      <c r="A93" s="862" t="s">
        <v>1428</v>
      </c>
      <c r="B93" s="422">
        <f>'Sources and Uses Budget'!$C92</f>
        <v>15000</v>
      </c>
      <c r="C93" s="422">
        <f>'Sources and Uses Budget'!$C92</f>
        <v>15000</v>
      </c>
      <c r="D93" s="426">
        <f t="shared" si="1"/>
        <v>0</v>
      </c>
      <c r="E93" s="424"/>
      <c r="F93" s="423"/>
      <c r="G93" s="554"/>
    </row>
    <row r="94" spans="1:7" s="548" customFormat="1">
      <c r="A94" s="428" t="s">
        <v>35</v>
      </c>
      <c r="B94" s="422">
        <f>'Sources and Uses Budget'!$C93</f>
        <v>245000</v>
      </c>
      <c r="C94" s="422">
        <f>'Sources and Uses Budget'!$C93</f>
        <v>245000</v>
      </c>
      <c r="D94" s="426">
        <f t="shared" si="1"/>
        <v>0</v>
      </c>
      <c r="E94" s="424"/>
      <c r="F94" s="423"/>
      <c r="G94" s="554"/>
    </row>
    <row r="95" spans="1:7" s="548" customFormat="1">
      <c r="A95" s="428" t="s">
        <v>35</v>
      </c>
      <c r="B95" s="422">
        <f>'Sources and Uses Budget'!$C94</f>
        <v>50002</v>
      </c>
      <c r="C95" s="422">
        <f>'Sources and Uses Budget'!$C94</f>
        <v>50002</v>
      </c>
      <c r="D95" s="426">
        <f t="shared" si="1"/>
        <v>0</v>
      </c>
      <c r="E95" s="424"/>
      <c r="F95" s="423"/>
      <c r="G95" s="554"/>
    </row>
    <row r="96" spans="1:7" s="548" customFormat="1">
      <c r="A96" s="428" t="s">
        <v>35</v>
      </c>
      <c r="B96" s="422">
        <f>'Sources and Uses Budget'!$C95</f>
        <v>15000</v>
      </c>
      <c r="C96" s="422">
        <f>'Sources and Uses Budget'!$C95</f>
        <v>15000</v>
      </c>
      <c r="D96" s="426">
        <f t="shared" si="1"/>
        <v>0</v>
      </c>
      <c r="E96" s="424"/>
      <c r="F96" s="423"/>
      <c r="G96" s="554"/>
    </row>
    <row r="97" spans="1:7" s="548" customFormat="1">
      <c r="A97" s="427" t="s">
        <v>835</v>
      </c>
      <c r="B97" s="426">
        <f>SUM(B84:B96)</f>
        <v>6753410</v>
      </c>
      <c r="C97" s="426">
        <f>SUM(C84:C96)</f>
        <v>6753410</v>
      </c>
      <c r="D97" s="426">
        <f t="shared" si="1"/>
        <v>0</v>
      </c>
      <c r="E97" s="424"/>
      <c r="F97" s="423"/>
      <c r="G97" s="554"/>
    </row>
    <row r="98" spans="1:7" s="548" customFormat="1">
      <c r="A98" s="427" t="s">
        <v>836</v>
      </c>
      <c r="B98" s="426">
        <f>SUM(B64+B71+B78+B82+B97)</f>
        <v>56405083.333333336</v>
      </c>
      <c r="C98" s="426">
        <f>SUM(C64+C71+C78+C82+C97)</f>
        <v>56405083.333333336</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7491538</v>
      </c>
      <c r="C100" s="422">
        <f>'Sources and Uses Budget'!$C99</f>
        <v>7491538</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7491538</v>
      </c>
      <c r="C105" s="426">
        <f>SUM(C100:C104)</f>
        <v>7491538</v>
      </c>
      <c r="D105" s="426">
        <f t="shared" si="1"/>
        <v>0</v>
      </c>
      <c r="E105" s="424"/>
      <c r="F105" s="423"/>
      <c r="G105" s="552"/>
    </row>
    <row r="106" spans="1:7" s="547" customFormat="1">
      <c r="A106" s="427" t="s">
        <v>841</v>
      </c>
      <c r="B106" s="429">
        <f>SUM(B98+B105)</f>
        <v>63896621.333333336</v>
      </c>
      <c r="C106" s="429">
        <f>SUM(C98+C105)</f>
        <v>63896621.333333336</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98" t="s">
        <v>1161</v>
      </c>
      <c r="B2" s="1898"/>
      <c r="C2" s="1899"/>
      <c r="D2" s="1899"/>
      <c r="E2" s="1899"/>
      <c r="F2" s="1899"/>
      <c r="G2" s="1899"/>
    </row>
    <row r="3" spans="1:9" s="256" customFormat="1">
      <c r="A3" s="1898" t="s">
        <v>1091</v>
      </c>
      <c r="B3" s="1898"/>
      <c r="C3" s="1899"/>
      <c r="D3" s="1899"/>
      <c r="E3" s="1899"/>
      <c r="F3" s="1899"/>
      <c r="G3" s="1899"/>
      <c r="I3" s="678" t="s">
        <v>318</v>
      </c>
    </row>
    <row r="4" spans="1:9">
      <c r="I4" s="679" t="s">
        <v>1162</v>
      </c>
    </row>
    <row r="5" spans="1:9" s="39" customFormat="1">
      <c r="A5" s="1902" t="s">
        <v>1092</v>
      </c>
      <c r="B5" s="1902"/>
      <c r="C5" s="1903"/>
      <c r="D5" s="1903"/>
      <c r="E5" s="1903"/>
      <c r="F5" s="1903"/>
      <c r="G5" s="1903"/>
      <c r="I5" s="679" t="s">
        <v>1163</v>
      </c>
    </row>
    <row r="6" spans="1:9" s="39" customFormat="1">
      <c r="A6" s="1902" t="s">
        <v>883</v>
      </c>
      <c r="B6" s="1902"/>
      <c r="C6" s="1903"/>
      <c r="D6" s="1903"/>
      <c r="E6" s="1903"/>
      <c r="F6" s="1903"/>
      <c r="G6" s="1903"/>
      <c r="I6" s="678" t="s">
        <v>627</v>
      </c>
    </row>
    <row r="7" spans="1:9" ht="11.85" customHeight="1"/>
    <row r="8" spans="1:9" s="39" customFormat="1">
      <c r="A8" s="1900" t="s">
        <v>1258</v>
      </c>
      <c r="B8" s="1900"/>
      <c r="C8" s="1901"/>
      <c r="D8" s="1901"/>
      <c r="E8" s="1901"/>
      <c r="F8" s="1901"/>
      <c r="G8" s="1901"/>
    </row>
    <row r="9" spans="1:9" s="39" customFormat="1">
      <c r="A9" s="1900" t="s">
        <v>1259</v>
      </c>
      <c r="B9" s="1900"/>
      <c r="C9" s="1901"/>
      <c r="D9" s="1901"/>
      <c r="E9" s="1901"/>
      <c r="F9" s="1901"/>
      <c r="G9" s="1901"/>
    </row>
    <row r="10" spans="1:9">
      <c r="A10" s="258"/>
      <c r="B10" s="258"/>
      <c r="C10" s="255"/>
      <c r="D10" s="255"/>
      <c r="E10" s="255"/>
      <c r="F10" s="255"/>
    </row>
    <row r="11" spans="1:9">
      <c r="A11" s="1904" t="s">
        <v>1261</v>
      </c>
      <c r="B11" s="1904"/>
      <c r="C11" s="1904"/>
      <c r="D11" s="1904"/>
      <c r="E11" s="1904"/>
      <c r="F11" s="1904"/>
      <c r="G11" s="1904"/>
    </row>
    <row r="12" spans="1:9">
      <c r="A12" s="255"/>
      <c r="B12" s="674"/>
      <c r="E12" s="50"/>
    </row>
    <row r="13" spans="1:9" ht="13.2" customHeight="1">
      <c r="C13" s="255"/>
      <c r="D13" s="1876" t="s">
        <v>1260</v>
      </c>
      <c r="E13" s="1876"/>
      <c r="F13" s="1876"/>
    </row>
    <row r="14" spans="1:9">
      <c r="C14" s="255"/>
      <c r="D14" s="1876"/>
      <c r="E14" s="1876"/>
      <c r="F14" s="1876"/>
    </row>
    <row r="15" spans="1:9">
      <c r="A15" s="260"/>
      <c r="B15" s="260"/>
      <c r="C15" s="260"/>
      <c r="D15" s="1873" t="s">
        <v>1243</v>
      </c>
      <c r="E15" s="1873"/>
      <c r="F15" s="1873"/>
    </row>
    <row r="16" spans="1:9">
      <c r="A16" s="260"/>
      <c r="B16" s="260"/>
      <c r="C16" s="260"/>
      <c r="D16" s="328"/>
    </row>
    <row r="17" spans="1:7" ht="14.4">
      <c r="A17" s="261"/>
      <c r="B17" s="680" t="s">
        <v>318</v>
      </c>
      <c r="C17" s="314"/>
      <c r="D17" s="1848" t="s">
        <v>1244</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ht="14.4">
      <c r="A21" s="261"/>
      <c r="B21" s="680" t="s">
        <v>318</v>
      </c>
      <c r="D21" s="1877" t="s">
        <v>1245</v>
      </c>
      <c r="E21" s="1877"/>
      <c r="F21" s="1877"/>
    </row>
    <row r="22" spans="1:7" ht="14.4">
      <c r="A22" s="261"/>
      <c r="B22" s="261"/>
      <c r="D22" s="135"/>
    </row>
    <row r="23" spans="1:7" ht="14.4">
      <c r="A23" s="261"/>
      <c r="B23" s="680" t="s">
        <v>318</v>
      </c>
      <c r="D23" s="1848" t="s">
        <v>1246</v>
      </c>
      <c r="E23" s="1848"/>
      <c r="F23" s="1848"/>
    </row>
    <row r="24" spans="1:7" ht="14.4">
      <c r="A24" s="261"/>
      <c r="B24" s="261"/>
      <c r="D24" s="1848"/>
      <c r="E24" s="1848"/>
      <c r="F24" s="1848"/>
    </row>
    <row r="25" spans="1:7"/>
    <row r="26" spans="1:7" ht="14.4">
      <c r="A26" s="261"/>
      <c r="B26" s="680" t="s">
        <v>318</v>
      </c>
      <c r="D26" s="1871" t="s">
        <v>1247</v>
      </c>
      <c r="E26" s="1871"/>
      <c r="F26" s="1871"/>
    </row>
    <row r="27" spans="1:7">
      <c r="D27" s="1871"/>
      <c r="E27" s="1871"/>
      <c r="F27" s="1871"/>
    </row>
    <row r="28" spans="1:7">
      <c r="D28" s="1871"/>
      <c r="E28" s="1871"/>
      <c r="F28" s="1871"/>
    </row>
    <row r="29" spans="1:7">
      <c r="A29" s="559"/>
      <c r="C29" s="559"/>
      <c r="D29" s="1871"/>
      <c r="E29" s="1871"/>
      <c r="F29" s="1871"/>
    </row>
    <row r="30" spans="1:7">
      <c r="A30" s="559"/>
      <c r="C30" s="559"/>
      <c r="D30" s="1871"/>
      <c r="E30" s="1871"/>
      <c r="F30" s="1871"/>
    </row>
    <row r="31" spans="1:7" s="39" customFormat="1">
      <c r="A31" s="273"/>
      <c r="B31" s="273"/>
      <c r="C31" s="273"/>
      <c r="D31" s="444"/>
      <c r="E31" s="130"/>
      <c r="F31" s="130"/>
      <c r="G31" s="130"/>
    </row>
    <row r="32" spans="1:7" s="39" customFormat="1">
      <c r="A32" s="273"/>
      <c r="B32" s="680" t="s">
        <v>318</v>
      </c>
      <c r="C32" s="273"/>
      <c r="D32" s="1850" t="s">
        <v>1248</v>
      </c>
      <c r="E32" s="1850"/>
      <c r="F32" s="1850"/>
      <c r="G32" s="130"/>
    </row>
    <row r="33" spans="1:7" s="39" customFormat="1">
      <c r="A33" s="273"/>
      <c r="B33" s="273"/>
      <c r="C33" s="273"/>
      <c r="D33" s="1850"/>
      <c r="E33" s="1850"/>
      <c r="F33" s="1850"/>
      <c r="G33" s="130"/>
    </row>
    <row r="34" spans="1:7" ht="14.4">
      <c r="A34" s="261"/>
      <c r="B34" s="261"/>
      <c r="D34" s="405"/>
    </row>
    <row r="35" spans="1:7" ht="14.4" customHeight="1">
      <c r="A35" s="261"/>
      <c r="B35" s="680" t="s">
        <v>318</v>
      </c>
      <c r="C35" s="555"/>
      <c r="D35" s="1850" t="s">
        <v>1249</v>
      </c>
      <c r="E35" s="1850"/>
      <c r="F35" s="1850"/>
    </row>
    <row r="36" spans="1:7" ht="14.4">
      <c r="A36" s="261"/>
      <c r="B36" s="261"/>
      <c r="C36" s="555"/>
      <c r="D36" s="1850"/>
      <c r="E36" s="1850"/>
      <c r="F36" s="1850"/>
    </row>
    <row r="37" spans="1:7" ht="14.4">
      <c r="A37" s="261"/>
      <c r="B37" s="261"/>
      <c r="C37" s="555"/>
      <c r="D37" s="1850"/>
      <c r="E37" s="1850"/>
      <c r="F37" s="1850"/>
    </row>
    <row r="38" spans="1:7" ht="14.4">
      <c r="A38" s="261"/>
      <c r="B38" s="261"/>
      <c r="C38" s="555"/>
      <c r="D38" s="12"/>
    </row>
    <row r="39" spans="1:7" s="683" customFormat="1" ht="14.4">
      <c r="A39" s="261"/>
      <c r="B39" s="680" t="s">
        <v>318</v>
      </c>
      <c r="C39" s="700"/>
      <c r="D39" s="1850" t="s">
        <v>1250</v>
      </c>
      <c r="E39" s="1850"/>
      <c r="F39" s="1850"/>
      <c r="G39" s="7"/>
    </row>
    <row r="40" spans="1:7" s="683" customFormat="1" ht="14.4">
      <c r="A40" s="261"/>
      <c r="B40" s="261"/>
      <c r="C40" s="700"/>
      <c r="D40" s="1850"/>
      <c r="E40" s="1850"/>
      <c r="F40" s="1850"/>
      <c r="G40" s="7"/>
    </row>
    <row r="41" spans="1:7" s="683" customFormat="1" ht="14.4">
      <c r="A41" s="261"/>
      <c r="B41" s="261"/>
      <c r="C41" s="700"/>
      <c r="D41" s="1850"/>
      <c r="E41" s="1850"/>
      <c r="F41" s="1850"/>
      <c r="G41" s="7"/>
    </row>
    <row r="42" spans="1:7" s="683" customFormat="1" ht="14.4">
      <c r="A42" s="261"/>
      <c r="B42" s="261"/>
      <c r="C42" s="700"/>
      <c r="D42" s="1850"/>
      <c r="E42" s="1850"/>
      <c r="F42" s="1850"/>
      <c r="G42" s="7"/>
    </row>
    <row r="43" spans="1:7" s="683" customFormat="1" ht="14.4">
      <c r="A43" s="261"/>
      <c r="B43" s="261"/>
      <c r="C43" s="700"/>
      <c r="D43" s="1850"/>
      <c r="E43" s="1850"/>
      <c r="F43" s="1850"/>
      <c r="G43" s="7"/>
    </row>
    <row r="44" spans="1:7" s="683" customFormat="1" ht="14.4">
      <c r="A44" s="261"/>
      <c r="B44" s="261"/>
      <c r="C44" s="700"/>
      <c r="D44" s="699"/>
      <c r="E44" s="699"/>
      <c r="F44" s="699"/>
      <c r="G44" s="7"/>
    </row>
    <row r="45" spans="1:7" ht="14.4">
      <c r="A45" s="261"/>
      <c r="B45" s="680" t="s">
        <v>318</v>
      </c>
      <c r="C45" s="555"/>
      <c r="D45" s="1850" t="s">
        <v>1251</v>
      </c>
      <c r="E45" s="1850"/>
      <c r="F45" s="1850"/>
    </row>
    <row r="46" spans="1:7" ht="14.4">
      <c r="A46" s="261"/>
      <c r="B46" s="261"/>
      <c r="C46" s="555"/>
      <c r="D46" s="1850"/>
      <c r="E46" s="1850"/>
      <c r="F46" s="1850"/>
    </row>
    <row r="47" spans="1:7" ht="14.4">
      <c r="A47" s="261"/>
      <c r="B47" s="261"/>
      <c r="C47" s="555"/>
      <c r="D47" s="1850"/>
      <c r="E47" s="1850"/>
      <c r="F47" s="1850"/>
    </row>
    <row r="48" spans="1:7" ht="23.25" customHeight="1">
      <c r="A48" s="261"/>
      <c r="B48" s="261"/>
      <c r="C48" s="555"/>
      <c r="D48" s="1850"/>
      <c r="E48" s="1850"/>
      <c r="F48" s="1850"/>
    </row>
    <row r="49" spans="1:7" ht="14.4">
      <c r="A49" s="261"/>
      <c r="B49" s="261"/>
      <c r="D49" s="151"/>
    </row>
    <row r="50" spans="1:7" ht="14.4" customHeight="1">
      <c r="A50" s="261"/>
      <c r="B50" s="680" t="s">
        <v>318</v>
      </c>
      <c r="D50" s="1850" t="s">
        <v>1252</v>
      </c>
      <c r="E50" s="1850"/>
      <c r="F50" s="1850"/>
    </row>
    <row r="51" spans="1:7" ht="14.4">
      <c r="A51" s="261"/>
      <c r="B51" s="261"/>
      <c r="D51" s="1850"/>
      <c r="E51" s="1850"/>
      <c r="F51" s="1850"/>
    </row>
    <row r="52" spans="1:7" ht="14.4">
      <c r="A52" s="261"/>
      <c r="B52" s="261"/>
      <c r="D52" s="1850"/>
      <c r="E52" s="1850"/>
      <c r="F52" s="1850"/>
    </row>
    <row r="53" spans="1:7" s="2" customFormat="1" ht="14.4">
      <c r="A53" s="261"/>
      <c r="B53" s="261"/>
      <c r="C53" s="557"/>
      <c r="D53" s="239"/>
      <c r="E53" s="22"/>
      <c r="F53" s="22"/>
      <c r="G53" s="22"/>
    </row>
    <row r="54" spans="1:7" s="2" customFormat="1" ht="14.4">
      <c r="A54" s="404"/>
      <c r="B54" s="680" t="s">
        <v>318</v>
      </c>
      <c r="C54" s="558"/>
      <c r="D54" s="1850" t="s">
        <v>1253</v>
      </c>
      <c r="E54" s="1850"/>
      <c r="F54" s="1850"/>
      <c r="G54" s="22"/>
    </row>
    <row r="55" spans="1:7" s="2" customFormat="1" ht="14.4">
      <c r="A55" s="404"/>
      <c r="B55" s="404"/>
      <c r="C55" s="558"/>
      <c r="D55" s="1850"/>
      <c r="E55" s="1850"/>
      <c r="F55" s="1850"/>
      <c r="G55" s="22"/>
    </row>
    <row r="56" spans="1:7" s="39" customFormat="1">
      <c r="A56" s="273"/>
      <c r="B56" s="273"/>
      <c r="C56" s="273"/>
      <c r="D56" s="444"/>
      <c r="E56" s="130"/>
      <c r="F56" s="130"/>
      <c r="G56" s="130"/>
    </row>
    <row r="57" spans="1:7" ht="14.4">
      <c r="A57" s="261"/>
      <c r="B57" s="680" t="s">
        <v>318</v>
      </c>
      <c r="D57" s="1850" t="s">
        <v>1254</v>
      </c>
      <c r="E57" s="1850"/>
      <c r="F57" s="1850"/>
    </row>
    <row r="58" spans="1:7">
      <c r="D58" s="1850"/>
      <c r="E58" s="1850"/>
      <c r="F58" s="1850"/>
    </row>
    <row r="59" spans="1:7">
      <c r="D59" s="1850"/>
      <c r="E59" s="1850"/>
      <c r="F59" s="1850"/>
    </row>
    <row r="60" spans="1:7" s="683" customFormat="1">
      <c r="A60" s="700"/>
      <c r="B60" s="700"/>
      <c r="C60" s="700"/>
      <c r="D60" s="679"/>
      <c r="E60" s="7"/>
      <c r="F60" s="7"/>
      <c r="G60" s="7"/>
    </row>
    <row r="61" spans="1:7" ht="14.4">
      <c r="A61" s="261"/>
      <c r="B61" s="680" t="s">
        <v>318</v>
      </c>
      <c r="D61" s="1850" t="s">
        <v>1255</v>
      </c>
      <c r="E61" s="1850"/>
      <c r="F61" s="1850"/>
    </row>
    <row r="62" spans="1:7">
      <c r="D62" s="1850"/>
      <c r="E62" s="1850"/>
      <c r="F62" s="1850"/>
    </row>
    <row r="63" spans="1:7"/>
    <row r="64" spans="1:7" ht="14.4">
      <c r="A64" s="261"/>
      <c r="B64" s="680" t="s">
        <v>318</v>
      </c>
      <c r="D64" s="1850" t="s">
        <v>1256</v>
      </c>
      <c r="E64" s="1850"/>
      <c r="F64" s="1850"/>
    </row>
    <row r="65" spans="1:7">
      <c r="D65" s="1850"/>
      <c r="E65" s="1850"/>
      <c r="F65" s="1850"/>
    </row>
    <row r="66" spans="1:7">
      <c r="A66" s="556"/>
      <c r="C66" s="556"/>
      <c r="D66" s="1850"/>
      <c r="E66" s="1850"/>
      <c r="F66" s="1850"/>
    </row>
    <row r="67" spans="1:7">
      <c r="D67" s="12"/>
    </row>
    <row r="68" spans="1:7" ht="14.4">
      <c r="A68" s="261"/>
      <c r="B68" s="680" t="s">
        <v>318</v>
      </c>
      <c r="D68" s="1848" t="s">
        <v>1257</v>
      </c>
      <c r="E68" s="1848"/>
      <c r="F68" s="1848"/>
    </row>
    <row r="69" spans="1:7">
      <c r="D69" s="1848"/>
      <c r="E69" s="1848"/>
      <c r="F69" s="1848"/>
    </row>
    <row r="70" spans="1:7" ht="14.4">
      <c r="A70" s="261"/>
      <c r="B70" s="261"/>
      <c r="D70" s="135"/>
    </row>
    <row r="71" spans="1:7">
      <c r="A71" s="1874" t="s">
        <v>1164</v>
      </c>
      <c r="B71" s="1874"/>
      <c r="C71" s="1874"/>
      <c r="D71" s="1874"/>
      <c r="E71" s="1874"/>
      <c r="F71" s="1874"/>
      <c r="G71" s="1874"/>
    </row>
    <row r="72" spans="1:7"/>
    <row r="73" spans="1:7">
      <c r="C73" s="262"/>
      <c r="D73" s="1890" t="s">
        <v>1262</v>
      </c>
      <c r="E73" s="1890"/>
      <c r="F73" s="1890"/>
    </row>
    <row r="74" spans="1:7">
      <c r="A74" s="135"/>
      <c r="B74" s="135"/>
      <c r="D74" s="1848" t="s">
        <v>1289</v>
      </c>
      <c r="E74" s="1848"/>
      <c r="F74" s="1848"/>
    </row>
    <row r="75" spans="1:7">
      <c r="A75" s="135"/>
      <c r="B75" s="135"/>
    </row>
    <row r="76" spans="1:7" ht="14.4">
      <c r="A76" s="261"/>
      <c r="B76" s="680" t="s">
        <v>318</v>
      </c>
      <c r="D76" s="1848" t="s">
        <v>1263</v>
      </c>
      <c r="E76" s="1848"/>
      <c r="F76" s="1848"/>
    </row>
    <row r="77" spans="1:7" ht="14.4">
      <c r="A77" s="261"/>
      <c r="B77" s="261"/>
      <c r="D77" s="1848"/>
      <c r="E77" s="1848"/>
      <c r="F77" s="1848"/>
    </row>
    <row r="78" spans="1:7" ht="14.4">
      <c r="A78" s="261"/>
      <c r="B78" s="261"/>
      <c r="D78" s="1848"/>
      <c r="E78" s="1848"/>
      <c r="F78" s="1848"/>
    </row>
    <row r="79" spans="1:7" ht="14.4">
      <c r="A79" s="261"/>
      <c r="B79" s="261"/>
      <c r="D79" s="1848"/>
      <c r="E79" s="1848"/>
      <c r="F79" s="1848"/>
    </row>
    <row r="80" spans="1:7" ht="14.4">
      <c r="A80" s="261"/>
      <c r="B80" s="261"/>
      <c r="D80" s="1848"/>
      <c r="E80" s="1848"/>
      <c r="F80" s="1848"/>
    </row>
    <row r="81" spans="1:7" ht="14.4">
      <c r="A81" s="261"/>
      <c r="B81" s="261"/>
      <c r="D81" s="1848"/>
      <c r="E81" s="1848"/>
      <c r="F81" s="1848"/>
    </row>
    <row r="82" spans="1:7" s="707" customFormat="1" ht="14.4">
      <c r="A82" s="708"/>
      <c r="B82" s="708"/>
      <c r="C82" s="706"/>
      <c r="D82" s="710"/>
      <c r="E82" s="710"/>
      <c r="F82" s="710"/>
      <c r="G82" s="7"/>
    </row>
    <row r="83" spans="1:7" s="707" customFormat="1" ht="14.4" customHeight="1">
      <c r="A83" s="708"/>
      <c r="B83" s="713" t="s">
        <v>318</v>
      </c>
      <c r="C83" s="706"/>
      <c r="D83" s="1905" t="s">
        <v>1362</v>
      </c>
      <c r="E83" s="1905"/>
      <c r="F83" s="1905"/>
      <c r="G83" s="7"/>
    </row>
    <row r="84" spans="1:7" s="707" customFormat="1" ht="14.4">
      <c r="A84" s="708"/>
      <c r="B84" s="708"/>
      <c r="C84" s="706"/>
      <c r="D84" s="1905"/>
      <c r="E84" s="1905"/>
      <c r="F84" s="1905"/>
      <c r="G84" s="7"/>
    </row>
    <row r="85" spans="1:7" s="707" customFormat="1" ht="14.4">
      <c r="A85" s="708"/>
      <c r="B85" s="708"/>
      <c r="C85" s="706"/>
      <c r="D85" s="1905"/>
      <c r="E85" s="1905"/>
      <c r="F85" s="1905"/>
      <c r="G85" s="7"/>
    </row>
    <row r="86" spans="1:7" s="707" customFormat="1" ht="14.4">
      <c r="A86" s="708"/>
      <c r="B86" s="708"/>
      <c r="C86" s="706"/>
      <c r="D86" s="1905"/>
      <c r="E86" s="1905"/>
      <c r="F86" s="1905"/>
      <c r="G86" s="7"/>
    </row>
    <row r="87" spans="1:7" s="707" customFormat="1" ht="14.4">
      <c r="A87" s="708"/>
      <c r="B87" s="708"/>
      <c r="C87" s="706"/>
      <c r="D87" s="1905"/>
      <c r="E87" s="1905"/>
      <c r="F87" s="1905"/>
      <c r="G87" s="7"/>
    </row>
    <row r="88" spans="1:7" s="720" customFormat="1" ht="14.4">
      <c r="A88" s="715"/>
      <c r="B88" s="715"/>
      <c r="C88" s="746"/>
      <c r="D88" s="1905"/>
      <c r="E88" s="1905"/>
      <c r="F88" s="1905"/>
      <c r="G88" s="7"/>
    </row>
    <row r="89" spans="1:7" s="720" customFormat="1" ht="14.4">
      <c r="A89" s="715"/>
      <c r="B89" s="715"/>
      <c r="C89" s="746"/>
      <c r="D89" s="1905"/>
      <c r="E89" s="1905"/>
      <c r="F89" s="1905"/>
      <c r="G89" s="7"/>
    </row>
    <row r="90" spans="1:7" s="720" customFormat="1" ht="14.4">
      <c r="A90" s="715"/>
      <c r="B90" s="715"/>
      <c r="C90" s="746"/>
      <c r="D90" s="1905"/>
      <c r="E90" s="1905"/>
      <c r="F90" s="1905"/>
      <c r="G90" s="7"/>
    </row>
    <row r="91" spans="1:7" ht="14.4">
      <c r="A91" s="261"/>
      <c r="B91" s="261"/>
      <c r="D91" s="1905"/>
      <c r="E91" s="1905"/>
      <c r="F91" s="1905"/>
    </row>
    <row r="92" spans="1:7" ht="14.4">
      <c r="A92" s="261"/>
      <c r="B92" s="261"/>
      <c r="D92" s="1905"/>
      <c r="E92" s="1905"/>
      <c r="F92" s="1905"/>
    </row>
    <row r="93" spans="1:7" ht="14.4">
      <c r="A93" s="261"/>
      <c r="B93" s="261"/>
      <c r="D93" s="1905"/>
      <c r="E93" s="1905"/>
      <c r="F93" s="1905"/>
    </row>
    <row r="94" spans="1:7" ht="14.4">
      <c r="A94" s="261"/>
      <c r="B94" s="261"/>
      <c r="D94" s="1905"/>
      <c r="E94" s="1905"/>
      <c r="F94" s="1905"/>
    </row>
    <row r="95" spans="1:7" ht="14.4">
      <c r="A95" s="261"/>
      <c r="B95" s="261"/>
      <c r="D95" s="1905"/>
      <c r="E95" s="1905"/>
      <c r="F95" s="1905"/>
    </row>
    <row r="96" spans="1:7" ht="14.4">
      <c r="A96" s="261"/>
      <c r="B96" s="261"/>
      <c r="D96" s="1905"/>
      <c r="E96" s="1905"/>
      <c r="F96" s="1905"/>
    </row>
    <row r="97" spans="1:11" s="711" customFormat="1" ht="14.4">
      <c r="A97" s="712"/>
      <c r="B97" s="716" t="s">
        <v>318</v>
      </c>
      <c r="C97" s="706"/>
      <c r="D97" s="1848" t="s">
        <v>1264</v>
      </c>
      <c r="E97" s="1848"/>
      <c r="F97" s="1848"/>
      <c r="G97" s="7"/>
    </row>
    <row r="98" spans="1:11" s="711" customFormat="1" ht="14.4">
      <c r="A98" s="712"/>
      <c r="B98" s="712"/>
      <c r="C98" s="706"/>
      <c r="D98" s="1848"/>
      <c r="E98" s="1848"/>
      <c r="F98" s="1848"/>
      <c r="G98" s="7"/>
    </row>
    <row r="99" spans="1:11" s="711" customFormat="1" ht="14.4">
      <c r="A99" s="712"/>
      <c r="B99" s="712"/>
      <c r="C99" s="706"/>
      <c r="D99" s="1848"/>
      <c r="E99" s="1848"/>
      <c r="F99" s="1848"/>
      <c r="G99" s="7"/>
    </row>
    <row r="100" spans="1:11" s="711" customFormat="1" ht="14.4">
      <c r="A100" s="712"/>
      <c r="B100" s="712"/>
      <c r="C100" s="706"/>
      <c r="D100" s="1848"/>
      <c r="E100" s="1848"/>
      <c r="F100" s="1848"/>
      <c r="G100" s="7"/>
    </row>
    <row r="101" spans="1:11" s="711" customFormat="1" ht="14.4">
      <c r="A101" s="712"/>
      <c r="B101" s="712"/>
      <c r="C101" s="706"/>
      <c r="D101" s="1848"/>
      <c r="E101" s="1848"/>
      <c r="F101" s="1848"/>
      <c r="G101" s="7"/>
    </row>
    <row r="102" spans="1:11" s="711" customFormat="1" ht="14.4">
      <c r="A102" s="712"/>
      <c r="B102" s="712"/>
      <c r="C102" s="706"/>
      <c r="D102" s="1848"/>
      <c r="E102" s="1848"/>
      <c r="F102" s="1848"/>
      <c r="G102" s="7"/>
    </row>
    <row r="103" spans="1:11" s="711" customFormat="1" ht="14.4">
      <c r="A103" s="712"/>
      <c r="B103" s="712"/>
      <c r="C103" s="706"/>
      <c r="D103" s="1848"/>
      <c r="E103" s="1848"/>
      <c r="F103" s="1848"/>
      <c r="G103" s="7"/>
    </row>
    <row r="104" spans="1:11" s="711" customFormat="1" ht="14.4">
      <c r="A104" s="712"/>
      <c r="B104" s="712"/>
      <c r="C104" s="706"/>
      <c r="D104" s="1848"/>
      <c r="E104" s="1848"/>
      <c r="F104" s="1848"/>
      <c r="G104" s="7"/>
    </row>
    <row r="105" spans="1:11" s="714" customFormat="1" ht="14.4">
      <c r="A105" s="715"/>
      <c r="B105" s="715"/>
      <c r="C105" s="706"/>
      <c r="D105" s="717"/>
      <c r="E105" s="717"/>
      <c r="F105" s="717"/>
      <c r="G105" s="7"/>
    </row>
    <row r="106" spans="1:11" ht="14.4">
      <c r="A106" s="404"/>
      <c r="B106" s="709" t="s">
        <v>318</v>
      </c>
      <c r="C106" s="470"/>
      <c r="D106" s="1906" t="s">
        <v>1265</v>
      </c>
      <c r="E106" s="1906"/>
      <c r="F106" s="1906"/>
      <c r="G106" s="471"/>
      <c r="H106" s="469"/>
      <c r="I106" s="469"/>
      <c r="J106" s="469"/>
      <c r="K106" s="469"/>
    </row>
    <row r="107" spans="1:11" ht="14.4">
      <c r="A107" s="261"/>
      <c r="B107" s="261"/>
      <c r="C107" s="316"/>
      <c r="D107" s="1906"/>
      <c r="E107" s="1906"/>
      <c r="F107" s="1906"/>
      <c r="G107" s="471"/>
      <c r="H107" s="469"/>
      <c r="I107" s="469"/>
      <c r="J107" s="469"/>
      <c r="K107" s="469"/>
    </row>
    <row r="108" spans="1:11" ht="14.4">
      <c r="A108" s="261"/>
      <c r="B108" s="261"/>
      <c r="C108" s="316"/>
      <c r="D108" s="1906"/>
      <c r="E108" s="1906"/>
      <c r="F108" s="1906"/>
      <c r="G108" s="471"/>
      <c r="H108" s="469"/>
      <c r="I108" s="469"/>
      <c r="J108" s="469"/>
      <c r="K108" s="469"/>
    </row>
    <row r="109" spans="1:11" ht="14.4">
      <c r="A109" s="261"/>
      <c r="B109" s="261"/>
      <c r="C109" s="316"/>
      <c r="D109" s="1906"/>
      <c r="E109" s="1906"/>
      <c r="F109" s="1906"/>
      <c r="G109" s="471"/>
      <c r="H109" s="469"/>
      <c r="I109" s="469"/>
      <c r="J109" s="469"/>
      <c r="K109" s="469"/>
    </row>
    <row r="110" spans="1:11" ht="14.4">
      <c r="A110" s="261"/>
      <c r="B110" s="261"/>
      <c r="C110" s="316"/>
      <c r="D110" s="1906"/>
      <c r="E110" s="1906"/>
      <c r="F110" s="1906"/>
      <c r="G110" s="471"/>
      <c r="H110" s="469"/>
      <c r="I110" s="469"/>
      <c r="J110" s="469"/>
      <c r="K110" s="469"/>
    </row>
    <row r="111" spans="1:11">
      <c r="C111"/>
      <c r="D111" s="1906"/>
      <c r="E111" s="1906"/>
      <c r="F111" s="1906"/>
      <c r="G111"/>
      <c r="H111"/>
      <c r="I111"/>
      <c r="J111"/>
      <c r="K111"/>
    </row>
    <row r="112" spans="1:11">
      <c r="C112"/>
      <c r="D112" s="1906"/>
      <c r="E112" s="1906"/>
      <c r="F112" s="1906"/>
      <c r="G112"/>
      <c r="H112"/>
      <c r="I112"/>
      <c r="J112"/>
      <c r="K112"/>
    </row>
    <row r="113" spans="1:11">
      <c r="C113"/>
      <c r="D113" s="478"/>
      <c r="E113"/>
      <c r="F113"/>
      <c r="G113"/>
      <c r="H113"/>
      <c r="I113"/>
      <c r="J113"/>
      <c r="K113"/>
    </row>
    <row r="114" spans="1:11" ht="14.4">
      <c r="A114" s="261"/>
      <c r="B114" s="680" t="s">
        <v>318</v>
      </c>
      <c r="C114"/>
      <c r="D114" s="1907" t="s">
        <v>1266</v>
      </c>
      <c r="E114" s="1907"/>
      <c r="F114" s="1907"/>
      <c r="G114"/>
      <c r="H114"/>
      <c r="I114"/>
      <c r="J114"/>
      <c r="K114"/>
    </row>
    <row r="115" spans="1:11" ht="14.4">
      <c r="A115" s="261"/>
      <c r="B115" s="261"/>
      <c r="C115"/>
      <c r="D115" s="1907"/>
      <c r="E115" s="1907"/>
      <c r="F115" s="1907"/>
      <c r="G115"/>
      <c r="H115"/>
      <c r="I115"/>
      <c r="J115"/>
      <c r="K115"/>
    </row>
    <row r="116" spans="1:11"/>
    <row r="117" spans="1:11" ht="14.4">
      <c r="A117" s="261"/>
      <c r="B117" s="680" t="s">
        <v>318</v>
      </c>
      <c r="C117" s="10"/>
      <c r="D117" s="1848" t="s">
        <v>1267</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4.4">
      <c r="A123" s="261"/>
      <c r="B123" s="680" t="s">
        <v>318</v>
      </c>
      <c r="C123" s="10"/>
      <c r="D123" s="1850" t="s">
        <v>1268</v>
      </c>
      <c r="E123" s="1850"/>
      <c r="F123" s="1850"/>
      <c r="G123" s="149"/>
    </row>
    <row r="124" spans="1:11" s="297" customFormat="1" ht="13.65" customHeight="1">
      <c r="A124" s="294"/>
      <c r="B124" s="294"/>
      <c r="C124" s="295"/>
      <c r="D124" s="1850"/>
      <c r="E124" s="1850"/>
      <c r="F124" s="1850"/>
      <c r="G124" s="296"/>
    </row>
    <row r="125" spans="1:11" customFormat="1" ht="13.65" customHeight="1">
      <c r="A125" s="132"/>
      <c r="B125" s="677"/>
      <c r="C125" s="10"/>
      <c r="D125" s="1850"/>
      <c r="E125" s="1850"/>
      <c r="F125" s="1850"/>
      <c r="G125" s="149"/>
    </row>
    <row r="126" spans="1:11" customFormat="1" ht="13.65" customHeight="1">
      <c r="A126" s="132"/>
      <c r="B126" s="677"/>
      <c r="C126" s="10"/>
      <c r="D126" s="1850"/>
      <c r="E126" s="1850"/>
      <c r="F126" s="1850"/>
      <c r="G126" s="149"/>
    </row>
    <row r="127" spans="1:11" customFormat="1" ht="13.65" customHeight="1">
      <c r="A127" s="132"/>
      <c r="B127" s="677"/>
      <c r="C127" s="10"/>
      <c r="D127" s="1850"/>
      <c r="E127" s="1850"/>
      <c r="F127" s="1850"/>
      <c r="G127" s="149"/>
    </row>
    <row r="128" spans="1:11" customFormat="1" ht="13.65" customHeight="1">
      <c r="A128" s="379"/>
      <c r="B128" s="379"/>
      <c r="C128" s="10"/>
      <c r="D128" s="1850"/>
      <c r="E128" s="1850"/>
      <c r="F128" s="1850"/>
      <c r="G128" s="149"/>
    </row>
    <row r="129" spans="1:7" s="2" customFormat="1" ht="13.65" customHeight="1">
      <c r="A129" s="273"/>
      <c r="B129" s="273"/>
      <c r="C129" s="443"/>
      <c r="D129" s="1850"/>
      <c r="E129" s="1850"/>
      <c r="F129" s="1850"/>
      <c r="G129" s="182"/>
    </row>
    <row r="130" spans="1:7" s="2" customFormat="1" ht="13.65" customHeight="1">
      <c r="A130" s="273"/>
      <c r="B130" s="273"/>
      <c r="C130" s="443"/>
      <c r="D130" s="1850"/>
      <c r="E130" s="1850"/>
      <c r="F130" s="1850"/>
      <c r="G130" s="182"/>
    </row>
    <row r="131" spans="1:7" customFormat="1" ht="13.65" customHeight="1">
      <c r="A131" s="132"/>
      <c r="B131" s="677"/>
      <c r="C131" s="10"/>
      <c r="D131" s="1850"/>
      <c r="E131" s="1850"/>
      <c r="F131" s="1850"/>
      <c r="G131" s="149"/>
    </row>
    <row r="132" spans="1:7" customFormat="1" ht="13.65" customHeight="1">
      <c r="A132" s="132"/>
      <c r="B132" s="677"/>
      <c r="C132" s="10"/>
      <c r="D132" s="1850"/>
      <c r="E132" s="1850"/>
      <c r="F132" s="1850"/>
      <c r="G132" s="149"/>
    </row>
    <row r="133" spans="1:7" customFormat="1" ht="13.65" customHeight="1">
      <c r="A133" s="132"/>
      <c r="B133" s="677"/>
      <c r="C133" s="10"/>
      <c r="D133" s="1850"/>
      <c r="E133" s="1850"/>
      <c r="F133" s="1850"/>
      <c r="G133" s="149"/>
    </row>
    <row r="134" spans="1:7" customFormat="1" ht="13.65" customHeight="1">
      <c r="A134" s="132"/>
      <c r="B134" s="677"/>
      <c r="C134" s="10"/>
      <c r="D134" s="1850"/>
      <c r="E134" s="1850"/>
      <c r="F134" s="1850"/>
      <c r="G134" s="149"/>
    </row>
    <row r="135" spans="1:7" customFormat="1" ht="13.65" customHeight="1">
      <c r="A135" s="132"/>
      <c r="B135" s="677"/>
      <c r="C135" s="10"/>
      <c r="D135" s="328"/>
      <c r="E135" s="151"/>
      <c r="F135" s="151"/>
      <c r="G135" s="149"/>
    </row>
    <row r="136" spans="1:7" s="718" customFormat="1" ht="13.65" customHeight="1">
      <c r="A136" s="706"/>
      <c r="B136" s="719" t="s">
        <v>318</v>
      </c>
      <c r="C136" s="10"/>
      <c r="D136" s="1848" t="s">
        <v>1376</v>
      </c>
      <c r="E136" s="1848"/>
      <c r="F136" s="1848"/>
      <c r="G136" s="149"/>
    </row>
    <row r="137" spans="1:7" s="718" customFormat="1" ht="13.65" customHeight="1">
      <c r="A137" s="706"/>
      <c r="B137" s="706"/>
      <c r="C137" s="10"/>
      <c r="D137" s="1848"/>
      <c r="E137" s="1848"/>
      <c r="F137" s="1848"/>
      <c r="G137" s="149"/>
    </row>
    <row r="138" spans="1:7" s="718" customFormat="1" ht="13.65" customHeight="1">
      <c r="A138" s="706"/>
      <c r="B138" s="706"/>
      <c r="C138" s="10"/>
      <c r="D138" s="1848"/>
      <c r="E138" s="1848"/>
      <c r="F138" s="1848"/>
      <c r="G138" s="149"/>
    </row>
    <row r="139" spans="1:7" s="718" customFormat="1" ht="13.65" customHeight="1">
      <c r="A139" s="706"/>
      <c r="B139" s="706"/>
      <c r="C139" s="10"/>
      <c r="D139" s="1848"/>
      <c r="E139" s="1848"/>
      <c r="F139" s="1848"/>
      <c r="G139" s="149"/>
    </row>
    <row r="140" spans="1:7" s="718" customFormat="1" ht="13.65" customHeight="1">
      <c r="A140" s="706"/>
      <c r="B140" s="706"/>
      <c r="C140" s="10"/>
      <c r="D140" s="1848"/>
      <c r="E140" s="1848"/>
      <c r="F140" s="1848"/>
      <c r="G140" s="149"/>
    </row>
    <row r="141" spans="1:7" s="718" customFormat="1" ht="13.65" customHeight="1">
      <c r="A141" s="706"/>
      <c r="B141" s="706"/>
      <c r="C141" s="10"/>
      <c r="D141" s="1848"/>
      <c r="E141" s="1848"/>
      <c r="F141" s="1848"/>
      <c r="G141" s="149"/>
    </row>
    <row r="142" spans="1:7" s="718" customFormat="1" ht="13.65" customHeight="1">
      <c r="A142" s="706"/>
      <c r="B142" s="706"/>
      <c r="C142" s="10"/>
      <c r="D142" s="1848"/>
      <c r="E142" s="1848"/>
      <c r="F142" s="1848"/>
      <c r="G142" s="149"/>
    </row>
    <row r="143" spans="1:7" s="718" customFormat="1" ht="13.65" customHeight="1">
      <c r="A143" s="706"/>
      <c r="B143" s="706"/>
      <c r="C143" s="10"/>
      <c r="D143" s="1848"/>
      <c r="E143" s="1848"/>
      <c r="F143" s="1848"/>
      <c r="G143" s="149"/>
    </row>
    <row r="144" spans="1:7" s="718" customFormat="1" ht="13.65" customHeight="1">
      <c r="A144" s="706"/>
      <c r="B144" s="706"/>
      <c r="C144" s="10"/>
      <c r="D144" s="1848"/>
      <c r="E144" s="1848"/>
      <c r="F144" s="1848"/>
      <c r="G144" s="149"/>
    </row>
    <row r="145" spans="1:7" s="718" customFormat="1" ht="13.65" customHeight="1">
      <c r="A145" s="706"/>
      <c r="B145" s="706"/>
      <c r="C145" s="10"/>
      <c r="D145" s="1848"/>
      <c r="E145" s="1848"/>
      <c r="F145" s="1848"/>
      <c r="G145" s="149"/>
    </row>
    <row r="146" spans="1:7" s="718" customFormat="1" ht="13.65" customHeight="1">
      <c r="A146" s="748"/>
      <c r="B146" s="748"/>
      <c r="C146" s="10"/>
      <c r="D146" s="1848"/>
      <c r="E146" s="1848"/>
      <c r="F146" s="1848"/>
      <c r="G146" s="149"/>
    </row>
    <row r="147" spans="1:7" s="718" customFormat="1" ht="13.65" customHeight="1">
      <c r="A147" s="748"/>
      <c r="B147" s="748"/>
      <c r="C147" s="10"/>
      <c r="D147" s="1848"/>
      <c r="E147" s="1848"/>
      <c r="F147" s="1848"/>
      <c r="G147" s="149"/>
    </row>
    <row r="148" spans="1:7" s="718" customFormat="1" ht="13.65" customHeight="1">
      <c r="A148" s="706"/>
      <c r="B148" s="706"/>
      <c r="C148" s="10"/>
      <c r="D148" s="1848"/>
      <c r="E148" s="1848"/>
      <c r="F148" s="1848"/>
      <c r="G148" s="149"/>
    </row>
    <row r="149" spans="1:7" s="718" customFormat="1" ht="13.65" customHeight="1">
      <c r="A149" s="706"/>
      <c r="B149" s="706"/>
      <c r="C149" s="10"/>
      <c r="D149" s="1848"/>
      <c r="E149" s="1848"/>
      <c r="F149" s="1848"/>
      <c r="G149" s="149"/>
    </row>
    <row r="150" spans="1:7" s="718" customFormat="1" ht="13.65" customHeight="1">
      <c r="A150" s="706"/>
      <c r="B150" s="706"/>
      <c r="C150" s="10"/>
      <c r="D150" s="1848"/>
      <c r="E150" s="1848"/>
      <c r="F150" s="1848"/>
      <c r="G150" s="149"/>
    </row>
    <row r="151" spans="1:7" s="718" customFormat="1" ht="13.65" customHeight="1">
      <c r="A151" s="706"/>
      <c r="B151" s="706"/>
      <c r="C151" s="10"/>
      <c r="D151" s="1848"/>
      <c r="E151" s="1848"/>
      <c r="F151" s="1848"/>
      <c r="G151" s="149"/>
    </row>
    <row r="152" spans="1:7" s="718" customFormat="1" ht="13.65" customHeight="1">
      <c r="A152" s="706"/>
      <c r="B152" s="706"/>
      <c r="C152" s="10"/>
      <c r="D152" s="1848"/>
      <c r="E152" s="1848"/>
      <c r="F152" s="1848"/>
      <c r="G152" s="149"/>
    </row>
    <row r="153" spans="1:7" s="718" customFormat="1" ht="13.65" customHeight="1">
      <c r="A153" s="706"/>
      <c r="B153" s="706"/>
      <c r="C153" s="10"/>
      <c r="D153" s="1848"/>
      <c r="E153" s="1848"/>
      <c r="F153" s="1848"/>
      <c r="G153" s="149"/>
    </row>
    <row r="154" spans="1:7" s="718" customFormat="1" ht="13.65" customHeight="1">
      <c r="A154" s="706"/>
      <c r="B154" s="706"/>
      <c r="C154" s="10"/>
      <c r="D154" s="1848"/>
      <c r="E154" s="1848"/>
      <c r="F154" s="1848"/>
      <c r="G154" s="149"/>
    </row>
    <row r="155" spans="1:7" s="718" customFormat="1" ht="13.65" customHeight="1">
      <c r="A155" s="706"/>
      <c r="B155" s="706"/>
      <c r="C155" s="10"/>
      <c r="D155" s="328"/>
      <c r="E155" s="151"/>
      <c r="F155" s="151"/>
      <c r="G155" s="149"/>
    </row>
    <row r="156" spans="1:7" customFormat="1" ht="13.65" customHeight="1">
      <c r="A156" s="379"/>
      <c r="B156" s="680" t="s">
        <v>318</v>
      </c>
      <c r="C156" s="326"/>
      <c r="D156" s="1908" t="s">
        <v>1269</v>
      </c>
      <c r="E156" s="1908"/>
      <c r="F156" s="1908"/>
      <c r="G156" s="445"/>
    </row>
    <row r="157" spans="1:7" customFormat="1" ht="13.65" customHeight="1">
      <c r="A157" s="379"/>
      <c r="B157" s="379"/>
      <c r="C157" s="326"/>
      <c r="D157" s="1908"/>
      <c r="E157" s="1908"/>
      <c r="F157" s="1908"/>
      <c r="G157" s="445"/>
    </row>
    <row r="158" spans="1:7" customFormat="1" ht="13.65" customHeight="1">
      <c r="A158" s="379"/>
      <c r="B158" s="379"/>
      <c r="C158" s="326"/>
      <c r="D158" s="328"/>
      <c r="E158" s="326"/>
      <c r="F158" s="326"/>
      <c r="G158" s="445"/>
    </row>
    <row r="159" spans="1:7" customFormat="1" ht="13.65" customHeight="1">
      <c r="A159" s="379"/>
      <c r="B159" s="680" t="s">
        <v>318</v>
      </c>
      <c r="C159" s="326"/>
      <c r="D159" s="1851" t="s">
        <v>1270</v>
      </c>
      <c r="E159" s="1851"/>
      <c r="F159" s="1851"/>
      <c r="G159" s="445"/>
    </row>
    <row r="160" spans="1:7" customFormat="1" ht="13.65" customHeight="1">
      <c r="A160" s="379"/>
      <c r="B160" s="379"/>
      <c r="C160" s="326"/>
      <c r="D160" s="1851"/>
      <c r="E160" s="1851"/>
      <c r="F160" s="1851"/>
      <c r="G160" s="445"/>
    </row>
    <row r="161" spans="1:7" customFormat="1" ht="13.65" customHeight="1">
      <c r="A161" s="379"/>
      <c r="B161" s="379"/>
      <c r="C161" s="326"/>
      <c r="D161" s="1851"/>
      <c r="E161" s="1851"/>
      <c r="F161" s="1851"/>
      <c r="G161" s="445"/>
    </row>
    <row r="162" spans="1:7" customFormat="1" ht="13.65" customHeight="1">
      <c r="A162" s="379"/>
      <c r="B162" s="379"/>
      <c r="C162" s="326"/>
      <c r="D162" s="1851"/>
      <c r="E162" s="1851"/>
      <c r="F162" s="1851"/>
      <c r="G162" s="445"/>
    </row>
    <row r="163" spans="1:7" customFormat="1" ht="13.65" customHeight="1">
      <c r="A163" s="132"/>
      <c r="B163" s="677"/>
      <c r="C163" s="10"/>
      <c r="D163" s="151"/>
      <c r="E163" s="151"/>
      <c r="F163" s="151"/>
      <c r="G163" s="149"/>
    </row>
    <row r="164" spans="1:7" customFormat="1" ht="13.65" customHeight="1">
      <c r="A164" s="132"/>
      <c r="B164" s="680" t="s">
        <v>318</v>
      </c>
      <c r="C164" s="10"/>
      <c r="D164" s="1896" t="s">
        <v>1271</v>
      </c>
      <c r="E164" s="1896"/>
      <c r="F164" s="1896"/>
      <c r="G164" s="149"/>
    </row>
    <row r="165" spans="1:7" customFormat="1" ht="13.65" customHeight="1">
      <c r="A165" s="132"/>
      <c r="B165" s="677"/>
      <c r="C165" s="10"/>
      <c r="D165" s="1896"/>
      <c r="E165" s="1896"/>
      <c r="F165" s="1896"/>
      <c r="G165" s="149"/>
    </row>
    <row r="166" spans="1:7" customFormat="1" ht="13.65" customHeight="1">
      <c r="A166" s="132"/>
      <c r="B166" s="677"/>
      <c r="C166" s="10"/>
      <c r="D166" s="1896"/>
      <c r="E166" s="1896"/>
      <c r="F166" s="1896"/>
      <c r="G166" s="149"/>
    </row>
    <row r="167" spans="1:7" customFormat="1" ht="13.65" customHeight="1">
      <c r="A167" s="23"/>
      <c r="B167" s="676"/>
      <c r="C167" s="10"/>
      <c r="D167" s="7"/>
      <c r="E167" s="151"/>
      <c r="F167" s="151"/>
      <c r="G167" s="149"/>
    </row>
    <row r="168" spans="1:7">
      <c r="A168" s="1874" t="s">
        <v>1165</v>
      </c>
      <c r="B168" s="1874"/>
      <c r="C168" s="1874"/>
      <c r="D168" s="1874"/>
      <c r="E168" s="1874"/>
      <c r="F168" s="1874"/>
      <c r="G168" s="1874"/>
    </row>
    <row r="169" spans="1:7" ht="12" customHeight="1">
      <c r="D169" s="135"/>
      <c r="E169" s="135"/>
      <c r="F169" s="135"/>
    </row>
    <row r="170" spans="1:7">
      <c r="B170" s="1870" t="s">
        <v>471</v>
      </c>
      <c r="C170" s="1870"/>
      <c r="D170" s="1870"/>
      <c r="E170" s="1870"/>
      <c r="F170" s="1870"/>
    </row>
    <row r="171" spans="1:7" ht="12" customHeight="1">
      <c r="A171" s="255"/>
      <c r="B171" s="674"/>
      <c r="C171" s="255"/>
    </row>
    <row r="172" spans="1:7">
      <c r="A172" s="1874" t="s">
        <v>1166</v>
      </c>
      <c r="B172" s="1874"/>
      <c r="C172" s="1874"/>
      <c r="D172" s="1874"/>
      <c r="E172" s="1874"/>
      <c r="F172" s="1874"/>
      <c r="G172" s="1874"/>
    </row>
    <row r="173" spans="1:7" ht="12" customHeight="1">
      <c r="A173" s="264"/>
      <c r="B173" s="264"/>
      <c r="C173" s="265"/>
      <c r="D173" s="57"/>
      <c r="E173" s="49"/>
      <c r="F173" s="57"/>
      <c r="G173" s="57"/>
    </row>
    <row r="174" spans="1:7" ht="13.2" customHeight="1">
      <c r="A174" s="264"/>
      <c r="B174" s="264"/>
      <c r="C174" s="265"/>
      <c r="D174" s="1910" t="s">
        <v>1274</v>
      </c>
      <c r="E174" s="1910"/>
      <c r="F174" s="1910"/>
      <c r="G174" s="57"/>
    </row>
    <row r="175" spans="1:7">
      <c r="A175" s="264"/>
      <c r="B175" s="264"/>
      <c r="C175" s="265"/>
      <c r="D175" s="1910"/>
      <c r="E175" s="1910"/>
      <c r="F175" s="1910"/>
      <c r="G175" s="57"/>
    </row>
    <row r="176" spans="1:7" s="720" customFormat="1">
      <c r="A176" s="722"/>
      <c r="B176" s="722"/>
      <c r="C176" s="265"/>
      <c r="D176" s="1911" t="s">
        <v>1275</v>
      </c>
      <c r="E176" s="1911"/>
      <c r="F176" s="1911"/>
      <c r="G176" s="57"/>
    </row>
    <row r="177" spans="1:7" ht="12" customHeight="1">
      <c r="A177" s="264"/>
      <c r="B177" s="264"/>
      <c r="C177" s="265"/>
      <c r="D177" s="57"/>
      <c r="E177" s="49"/>
      <c r="F177" s="57"/>
      <c r="G177" s="57"/>
    </row>
    <row r="178" spans="1:7" ht="14.4">
      <c r="A178" s="261"/>
      <c r="B178" s="680" t="s">
        <v>318</v>
      </c>
      <c r="C178" s="265"/>
      <c r="D178" s="1909" t="s">
        <v>1273</v>
      </c>
      <c r="E178" s="1909"/>
      <c r="F178" s="1909"/>
      <c r="G178" s="57"/>
    </row>
    <row r="179" spans="1:7" ht="14.4">
      <c r="A179" s="261"/>
      <c r="B179" s="261"/>
      <c r="C179" s="265"/>
      <c r="D179" s="1909"/>
      <c r="E179" s="1909"/>
      <c r="F179" s="1909"/>
      <c r="G179" s="57"/>
    </row>
    <row r="180" spans="1:7" ht="14.4">
      <c r="A180" s="261"/>
      <c r="B180" s="261"/>
      <c r="C180" s="265"/>
      <c r="D180" s="1909"/>
      <c r="E180" s="1909"/>
      <c r="F180" s="1909"/>
      <c r="G180" s="57"/>
    </row>
    <row r="181" spans="1:7">
      <c r="A181" s="265"/>
      <c r="B181" s="265"/>
      <c r="C181" s="265"/>
      <c r="D181" s="1909"/>
      <c r="E181" s="1909"/>
      <c r="F181" s="1909"/>
    </row>
    <row r="182" spans="1:7">
      <c r="A182" s="265"/>
      <c r="B182" s="265"/>
      <c r="C182" s="265"/>
      <c r="D182" s="405"/>
      <c r="E182" s="57"/>
      <c r="F182" s="57"/>
    </row>
    <row r="183" spans="1:7">
      <c r="A183" s="265"/>
      <c r="B183" s="265"/>
      <c r="C183" s="265"/>
      <c r="D183" s="1913" t="s">
        <v>1182</v>
      </c>
      <c r="E183" s="1913"/>
      <c r="F183" s="1913"/>
    </row>
    <row r="184" spans="1:7">
      <c r="A184" s="265"/>
      <c r="B184" s="265"/>
      <c r="C184" s="265"/>
      <c r="D184" s="1913"/>
      <c r="E184" s="1913"/>
      <c r="F184" s="1913"/>
    </row>
    <row r="185" spans="1:7" s="683" customFormat="1">
      <c r="A185" s="265"/>
      <c r="B185" s="265"/>
      <c r="C185" s="265"/>
      <c r="D185" s="697"/>
      <c r="E185" s="697"/>
      <c r="F185" s="697"/>
      <c r="G185" s="7"/>
    </row>
    <row r="186" spans="1:7" s="678" customFormat="1" ht="14.4">
      <c r="A186" s="261"/>
      <c r="B186" s="680" t="s">
        <v>318</v>
      </c>
      <c r="C186" s="558"/>
      <c r="D186" s="1848" t="s">
        <v>1272</v>
      </c>
      <c r="E186" s="1848"/>
      <c r="F186" s="1848"/>
      <c r="G186" s="679"/>
    </row>
    <row r="187" spans="1:7" s="678" customFormat="1" ht="14.4" customHeight="1">
      <c r="A187" s="261"/>
      <c r="C187" s="558"/>
      <c r="D187" s="1848"/>
      <c r="E187" s="1848"/>
      <c r="F187" s="1848"/>
      <c r="G187" s="679"/>
    </row>
    <row r="188" spans="1:7" s="678" customFormat="1" ht="14.4">
      <c r="A188" s="261"/>
      <c r="B188" s="698"/>
      <c r="C188" s="558"/>
      <c r="D188" s="1848"/>
      <c r="E188" s="1848"/>
      <c r="F188" s="1848"/>
      <c r="G188" s="679"/>
    </row>
    <row r="189" spans="1:7" s="678" customFormat="1" ht="14.4">
      <c r="A189" s="261"/>
      <c r="B189" s="698"/>
      <c r="C189" s="558"/>
      <c r="D189" s="1848"/>
      <c r="E189" s="1848"/>
      <c r="F189" s="1848"/>
      <c r="G189" s="679"/>
    </row>
    <row r="190" spans="1:7" s="683" customFormat="1">
      <c r="A190" s="265"/>
      <c r="B190" s="265"/>
      <c r="C190" s="265"/>
      <c r="D190" s="697"/>
      <c r="E190" s="697"/>
      <c r="F190" s="697"/>
      <c r="G190" s="7"/>
    </row>
    <row r="191" spans="1:7">
      <c r="A191" s="1874" t="s">
        <v>1167</v>
      </c>
      <c r="B191" s="1874"/>
      <c r="C191" s="1874"/>
      <c r="D191" s="1874"/>
      <c r="E191" s="1874"/>
      <c r="F191" s="1874"/>
      <c r="G191" s="1874"/>
    </row>
    <row r="192" spans="1:7" ht="12" customHeight="1">
      <c r="D192" s="135"/>
      <c r="E192" s="135"/>
      <c r="F192" s="135"/>
    </row>
    <row r="193" spans="1:6">
      <c r="C193" s="262"/>
      <c r="D193" s="1912" t="s">
        <v>214</v>
      </c>
      <c r="E193" s="1912"/>
      <c r="F193" s="1912"/>
    </row>
    <row r="194" spans="1:6">
      <c r="A194" s="255"/>
      <c r="B194" s="674"/>
      <c r="C194" s="255"/>
      <c r="D194" s="1880" t="s">
        <v>1296</v>
      </c>
      <c r="E194" s="1881"/>
      <c r="F194" s="1881"/>
    </row>
    <row r="195" spans="1:6" ht="12" customHeight="1">
      <c r="A195" s="23"/>
      <c r="B195" s="676"/>
      <c r="C195" s="23"/>
    </row>
    <row r="196" spans="1:6" ht="13.2" customHeight="1">
      <c r="A196" s="23"/>
      <c r="C196" s="23"/>
      <c r="D196" s="1872" t="s">
        <v>580</v>
      </c>
      <c r="E196" s="1872"/>
      <c r="F196" s="1872"/>
    </row>
    <row r="197" spans="1:6" ht="14.4">
      <c r="A197" s="261"/>
      <c r="B197" s="680" t="s">
        <v>318</v>
      </c>
      <c r="D197" s="1848" t="s">
        <v>1290</v>
      </c>
      <c r="E197" s="1848"/>
      <c r="F197" s="1848"/>
    </row>
    <row r="198" spans="1:6" ht="14.4">
      <c r="A198" s="261"/>
      <c r="B198" s="261"/>
      <c r="D198" s="1848"/>
      <c r="E198" s="1848"/>
      <c r="F198" s="1848"/>
    </row>
    <row r="199" spans="1:6"/>
    <row r="200" spans="1:6" ht="14.4">
      <c r="A200" s="261"/>
      <c r="B200" s="680" t="s">
        <v>318</v>
      </c>
      <c r="D200" s="1848" t="s">
        <v>1291</v>
      </c>
      <c r="E200" s="1848"/>
      <c r="F200" s="1848"/>
    </row>
    <row r="201" spans="1:6" ht="14.4">
      <c r="A201" s="261"/>
      <c r="B201" s="261"/>
      <c r="D201" s="1848"/>
      <c r="E201" s="1848"/>
      <c r="F201" s="1848"/>
    </row>
    <row r="202" spans="1:6" ht="14.4">
      <c r="A202" s="261"/>
      <c r="B202" s="261"/>
      <c r="D202" s="1848"/>
      <c r="E202" s="1848"/>
      <c r="F202" s="1848"/>
    </row>
    <row r="203" spans="1:6" ht="5.0999999999999996" customHeight="1">
      <c r="A203" s="261"/>
      <c r="B203" s="261"/>
      <c r="D203" s="151"/>
      <c r="E203" s="135"/>
      <c r="F203" s="135"/>
    </row>
    <row r="204" spans="1:6" ht="14.4">
      <c r="A204" s="261"/>
      <c r="B204" s="261"/>
      <c r="D204" s="1848" t="s">
        <v>1292</v>
      </c>
      <c r="E204" s="1848"/>
      <c r="F204" s="1848"/>
    </row>
    <row r="205" spans="1:6" ht="14.4">
      <c r="A205" s="261"/>
      <c r="B205" s="261"/>
      <c r="D205" s="1848"/>
      <c r="E205" s="1848"/>
      <c r="F205" s="1848"/>
    </row>
    <row r="206" spans="1:6" ht="14.4">
      <c r="A206" s="261"/>
      <c r="B206" s="261"/>
      <c r="D206" s="1848"/>
      <c r="E206" s="1848"/>
      <c r="F206" s="1848"/>
    </row>
    <row r="207" spans="1:6" ht="14.4">
      <c r="A207" s="261"/>
      <c r="B207" s="261"/>
      <c r="D207" s="1848"/>
      <c r="E207" s="1848"/>
      <c r="F207" s="1848"/>
    </row>
    <row r="208" spans="1:6" ht="14.4">
      <c r="A208" s="261"/>
      <c r="B208" s="261"/>
      <c r="D208" s="1848"/>
      <c r="E208" s="1848"/>
      <c r="F208" s="1848"/>
    </row>
    <row r="209" spans="1:7" ht="14.4">
      <c r="A209" s="261"/>
      <c r="B209" s="261"/>
      <c r="D209" s="135"/>
      <c r="E209" s="135"/>
      <c r="F209" s="135"/>
    </row>
    <row r="210" spans="1:7" ht="14.4">
      <c r="A210" s="261"/>
      <c r="B210" s="680" t="s">
        <v>318</v>
      </c>
      <c r="D210" s="1869" t="s">
        <v>1293</v>
      </c>
      <c r="E210" s="1869"/>
      <c r="F210" s="1869"/>
    </row>
    <row r="211" spans="1:7" ht="14.4">
      <c r="A211" s="261"/>
      <c r="B211" s="261"/>
      <c r="D211" s="1869"/>
      <c r="E211" s="1869"/>
      <c r="F211" s="1869"/>
    </row>
    <row r="212" spans="1:7" ht="14.4">
      <c r="A212" s="261"/>
      <c r="B212" s="261"/>
      <c r="D212" s="1870" t="s">
        <v>966</v>
      </c>
      <c r="E212" s="1870"/>
      <c r="F212" s="1870"/>
    </row>
    <row r="213" spans="1:7" ht="14.4">
      <c r="A213" s="261"/>
      <c r="B213" s="261"/>
      <c r="D213" s="135"/>
      <c r="E213" s="135"/>
      <c r="F213" s="135"/>
    </row>
    <row r="214" spans="1:7" ht="14.4" customHeight="1">
      <c r="A214" s="261"/>
      <c r="B214" s="680" t="s">
        <v>318</v>
      </c>
      <c r="D214" s="1869" t="s">
        <v>1295</v>
      </c>
      <c r="E214" s="1869"/>
      <c r="F214" s="1869"/>
    </row>
    <row r="215" spans="1:7" ht="14.4">
      <c r="A215" s="261"/>
      <c r="B215" s="261"/>
      <c r="D215" s="1869"/>
      <c r="E215" s="1869"/>
      <c r="F215" s="1869"/>
    </row>
    <row r="216" spans="1:7" ht="14.4">
      <c r="A216" s="261"/>
      <c r="B216" s="261"/>
      <c r="D216" s="1869"/>
      <c r="E216" s="1869"/>
      <c r="F216" s="1869"/>
    </row>
    <row r="217" spans="1:7" ht="14.4">
      <c r="A217" s="261"/>
      <c r="B217" s="261"/>
      <c r="D217" s="1869"/>
      <c r="E217" s="1869"/>
      <c r="F217" s="1869"/>
    </row>
    <row r="218" spans="1:7" ht="14.4">
      <c r="A218" s="261"/>
      <c r="B218" s="261"/>
      <c r="D218" s="1869"/>
      <c r="E218" s="1869"/>
      <c r="F218" s="1869"/>
    </row>
    <row r="219" spans="1:7">
      <c r="D219" s="135"/>
      <c r="E219" s="135"/>
      <c r="F219" s="135"/>
    </row>
    <row r="220" spans="1:7" ht="14.4">
      <c r="A220" s="261"/>
      <c r="B220" s="680" t="s">
        <v>318</v>
      </c>
      <c r="D220" s="1848" t="s">
        <v>1294</v>
      </c>
      <c r="E220" s="1848"/>
      <c r="F220" s="1848"/>
    </row>
    <row r="221" spans="1:7" ht="14.4">
      <c r="A221" s="261"/>
      <c r="B221" s="261"/>
      <c r="D221" s="1848"/>
      <c r="E221" s="1848"/>
      <c r="F221" s="1848"/>
    </row>
    <row r="222" spans="1:7">
      <c r="D222" s="29"/>
    </row>
    <row r="223" spans="1:7">
      <c r="A223" s="1874" t="s">
        <v>1168</v>
      </c>
      <c r="B223" s="1874"/>
      <c r="C223" s="1874"/>
      <c r="D223" s="1874"/>
      <c r="E223" s="1874"/>
      <c r="F223" s="1874"/>
      <c r="G223" s="1874"/>
    </row>
    <row r="224" spans="1:7">
      <c r="D224" s="29"/>
    </row>
    <row r="225" spans="1:6">
      <c r="C225" s="262"/>
      <c r="D225" s="1872" t="s">
        <v>1297</v>
      </c>
      <c r="E225" s="1872"/>
      <c r="F225" s="1872"/>
    </row>
    <row r="226" spans="1:6">
      <c r="A226" s="255"/>
      <c r="B226" s="674"/>
      <c r="C226" s="255"/>
      <c r="D226" s="135"/>
      <c r="E226" s="135"/>
      <c r="F226" s="135"/>
    </row>
    <row r="227" spans="1:6">
      <c r="A227" s="260"/>
      <c r="B227" s="260"/>
      <c r="C227" s="260"/>
      <c r="D227" s="1872" t="s">
        <v>277</v>
      </c>
      <c r="E227" s="1872"/>
      <c r="F227" s="1872"/>
    </row>
    <row r="228" spans="1:6" ht="14.4">
      <c r="A228" s="261"/>
      <c r="B228" s="680" t="s">
        <v>318</v>
      </c>
      <c r="D228" s="1922" t="s">
        <v>1298</v>
      </c>
      <c r="E228" s="1922"/>
      <c r="F228" s="1922"/>
    </row>
    <row r="229" spans="1:6" ht="14.4">
      <c r="A229" s="261"/>
      <c r="B229" s="261"/>
      <c r="D229" s="1922"/>
      <c r="E229" s="1922"/>
      <c r="F229" s="1922"/>
    </row>
    <row r="230" spans="1:6">
      <c r="D230" s="135"/>
      <c r="E230" s="135"/>
      <c r="F230" s="135"/>
    </row>
    <row r="231" spans="1:6" ht="14.4" customHeight="1">
      <c r="A231" s="261"/>
      <c r="B231" s="680" t="s">
        <v>318</v>
      </c>
      <c r="D231" s="1869" t="s">
        <v>1299</v>
      </c>
      <c r="E231" s="1869"/>
      <c r="F231" s="1869"/>
    </row>
    <row r="232" spans="1:6">
      <c r="D232" s="1869"/>
      <c r="E232" s="1869"/>
      <c r="F232" s="1869"/>
    </row>
    <row r="233" spans="1:6">
      <c r="D233" s="1881" t="s">
        <v>957</v>
      </c>
      <c r="E233" s="1881"/>
      <c r="F233" s="1881"/>
    </row>
    <row r="234" spans="1:6">
      <c r="D234" s="135"/>
      <c r="E234" s="135"/>
      <c r="F234" s="135"/>
    </row>
    <row r="235" spans="1:6" ht="14.4" customHeight="1">
      <c r="A235" s="261"/>
      <c r="B235" s="680" t="s">
        <v>318</v>
      </c>
      <c r="D235" s="1869" t="s">
        <v>1301</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ht="14.4">
      <c r="A241" s="261"/>
      <c r="B241" s="680" t="s">
        <v>318</v>
      </c>
      <c r="D241" s="1848" t="s">
        <v>1300</v>
      </c>
      <c r="E241" s="1848"/>
      <c r="F241" s="1848"/>
    </row>
    <row r="242" spans="1:7">
      <c r="D242" s="1848"/>
      <c r="E242" s="1848"/>
      <c r="F242" s="1848"/>
    </row>
    <row r="243" spans="1:7">
      <c r="D243" s="1848"/>
      <c r="E243" s="1848"/>
      <c r="F243" s="1848"/>
    </row>
    <row r="244" spans="1:7">
      <c r="D244" s="263"/>
      <c r="E244" s="135"/>
      <c r="F244" s="135"/>
    </row>
    <row r="245" spans="1:7">
      <c r="A245" s="1874" t="s">
        <v>1169</v>
      </c>
      <c r="B245" s="1874"/>
      <c r="C245" s="1874"/>
      <c r="D245" s="1874"/>
      <c r="E245" s="1874"/>
      <c r="F245" s="1874"/>
      <c r="G245" s="1874"/>
    </row>
    <row r="246" spans="1:7">
      <c r="D246" s="263"/>
      <c r="E246" s="135"/>
      <c r="F246" s="135"/>
    </row>
    <row r="247" spans="1:7">
      <c r="C247" s="255"/>
      <c r="D247" s="1890" t="s">
        <v>1302</v>
      </c>
      <c r="E247" s="1890"/>
      <c r="F247" s="1890"/>
    </row>
    <row r="248" spans="1:7">
      <c r="C248" s="255"/>
      <c r="D248" s="1890"/>
      <c r="E248" s="1890"/>
      <c r="F248" s="1890"/>
    </row>
    <row r="249" spans="1:7">
      <c r="A249" s="260"/>
      <c r="B249" s="260"/>
      <c r="C249" s="260"/>
      <c r="D249" s="5"/>
      <c r="E249" s="6"/>
      <c r="F249" s="6"/>
    </row>
    <row r="250" spans="1:7">
      <c r="C250" s="260"/>
      <c r="D250" s="1872" t="s">
        <v>215</v>
      </c>
      <c r="E250" s="1872"/>
      <c r="F250" s="1872"/>
    </row>
    <row r="251" spans="1:7" ht="15.75" customHeight="1">
      <c r="A251" s="261"/>
      <c r="B251" s="261"/>
      <c r="D251" s="1878" t="s">
        <v>1303</v>
      </c>
      <c r="E251" s="1878"/>
      <c r="F251" s="1878"/>
    </row>
    <row r="252" spans="1:7">
      <c r="E252" s="135"/>
      <c r="F252" s="135"/>
    </row>
    <row r="253" spans="1:7" ht="14.4">
      <c r="A253" s="261"/>
      <c r="B253" s="680" t="s">
        <v>318</v>
      </c>
      <c r="D253" s="1848" t="s">
        <v>1304</v>
      </c>
      <c r="E253" s="1848"/>
      <c r="F253" s="1848"/>
    </row>
    <row r="254" spans="1:7" ht="14.4">
      <c r="A254" s="261"/>
      <c r="B254" s="261"/>
      <c r="D254" s="1848"/>
      <c r="E254" s="1848"/>
      <c r="F254" s="1848"/>
    </row>
    <row r="255" spans="1:7">
      <c r="D255" s="135"/>
      <c r="E255" s="135"/>
      <c r="F255" s="135"/>
    </row>
    <row r="256" spans="1:7" ht="14.4">
      <c r="A256" s="261"/>
      <c r="B256" s="680" t="s">
        <v>318</v>
      </c>
      <c r="D256" s="1869" t="s">
        <v>1305</v>
      </c>
      <c r="E256" s="1869"/>
      <c r="F256" s="1869"/>
    </row>
    <row r="257" spans="1:7" ht="14.4">
      <c r="A257" s="261"/>
      <c r="B257" s="261"/>
      <c r="D257" s="1869"/>
      <c r="E257" s="1869"/>
      <c r="F257" s="1869"/>
    </row>
    <row r="258" spans="1:7" ht="14.4">
      <c r="A258" s="261"/>
      <c r="B258" s="261"/>
      <c r="D258" s="1869"/>
      <c r="E258" s="1869"/>
      <c r="F258" s="1869"/>
    </row>
    <row r="259" spans="1:7">
      <c r="D259" s="135"/>
      <c r="E259" s="135"/>
      <c r="F259" s="135"/>
    </row>
    <row r="260" spans="1:7" ht="14.4">
      <c r="A260" s="261"/>
      <c r="B260" s="680" t="s">
        <v>318</v>
      </c>
      <c r="D260" s="1848" t="s">
        <v>1306</v>
      </c>
      <c r="E260" s="1848"/>
      <c r="F260" s="1848"/>
    </row>
    <row r="261" spans="1:7" ht="14.4">
      <c r="A261" s="261"/>
      <c r="B261" s="261"/>
      <c r="D261" s="1848"/>
      <c r="E261" s="1848"/>
      <c r="F261" s="1848"/>
    </row>
    <row r="262" spans="1:7">
      <c r="A262" s="23"/>
      <c r="B262" s="676"/>
      <c r="E262" s="135"/>
      <c r="F262" s="135"/>
    </row>
    <row r="263" spans="1:7">
      <c r="A263" s="1874" t="s">
        <v>1170</v>
      </c>
      <c r="B263" s="1874"/>
      <c r="C263" s="1874"/>
      <c r="D263" s="1874"/>
      <c r="E263" s="1874"/>
      <c r="F263" s="1874"/>
      <c r="G263" s="1874"/>
    </row>
    <row r="264" spans="1:7">
      <c r="A264" s="23"/>
      <c r="B264" s="676"/>
      <c r="D264" s="135"/>
      <c r="E264" s="135"/>
      <c r="F264" s="135"/>
    </row>
    <row r="265" spans="1:7">
      <c r="C265" s="23"/>
      <c r="D265" s="1872" t="s">
        <v>720</v>
      </c>
      <c r="E265" s="1872"/>
      <c r="F265" s="1872"/>
    </row>
    <row r="266" spans="1:7">
      <c r="C266" s="23"/>
      <c r="D266" s="1873" t="s">
        <v>1307</v>
      </c>
      <c r="E266" s="1873"/>
      <c r="F266" s="1873"/>
    </row>
    <row r="267" spans="1:7">
      <c r="C267" s="23"/>
      <c r="D267" s="259"/>
    </row>
    <row r="268" spans="1:7">
      <c r="A268" s="273"/>
      <c r="B268" s="680" t="s">
        <v>318</v>
      </c>
      <c r="D268" s="1873" t="s">
        <v>1308</v>
      </c>
      <c r="E268" s="1873"/>
      <c r="F268" s="1873"/>
    </row>
    <row r="269" spans="1:7" s="39" customFormat="1" ht="14.4">
      <c r="A269" s="404"/>
      <c r="B269" s="404"/>
      <c r="C269" s="273"/>
      <c r="D269" s="498"/>
      <c r="E269" s="499"/>
      <c r="F269" s="499"/>
      <c r="G269" s="130"/>
    </row>
    <row r="270" spans="1:7" s="39" customFormat="1" ht="13.2" customHeight="1">
      <c r="A270" s="273"/>
      <c r="B270" s="680" t="s">
        <v>318</v>
      </c>
      <c r="C270" s="273"/>
      <c r="D270" s="1923" t="s">
        <v>1309</v>
      </c>
      <c r="E270" s="1923"/>
      <c r="F270" s="1923"/>
      <c r="G270" s="130"/>
    </row>
    <row r="271" spans="1:7" s="39" customFormat="1" ht="14.4">
      <c r="A271" s="404"/>
      <c r="B271" s="404"/>
      <c r="C271" s="273"/>
      <c r="D271" s="1923"/>
      <c r="E271" s="1923"/>
      <c r="F271" s="1923"/>
      <c r="G271" s="130"/>
    </row>
    <row r="272" spans="1:7" s="39" customFormat="1" ht="14.4">
      <c r="A272" s="404"/>
      <c r="B272" s="404"/>
      <c r="C272" s="273"/>
      <c r="D272" s="1923"/>
      <c r="E272" s="1923"/>
      <c r="F272" s="1923"/>
      <c r="G272" s="130"/>
    </row>
    <row r="273" spans="1:7" s="39" customFormat="1" ht="14.4">
      <c r="A273" s="404"/>
      <c r="B273" s="404"/>
      <c r="C273" s="273"/>
      <c r="D273" s="1923"/>
      <c r="E273" s="1923"/>
      <c r="F273" s="1923"/>
      <c r="G273" s="130"/>
    </row>
    <row r="274" spans="1:7" s="39" customFormat="1" ht="14.4">
      <c r="A274" s="404"/>
      <c r="B274" s="404"/>
      <c r="C274" s="273"/>
      <c r="D274" s="1923"/>
      <c r="E274" s="1923"/>
      <c r="F274" s="1923"/>
      <c r="G274" s="130"/>
    </row>
    <row r="275" spans="1:7" s="39" customFormat="1" ht="14.4">
      <c r="A275" s="404"/>
      <c r="B275" s="404"/>
      <c r="C275" s="273"/>
      <c r="D275" s="498"/>
      <c r="E275" s="499"/>
      <c r="F275" s="499"/>
      <c r="G275" s="130"/>
    </row>
    <row r="276" spans="1:7" s="39" customFormat="1" ht="13.2" customHeight="1">
      <c r="A276" s="273"/>
      <c r="B276" s="680" t="s">
        <v>318</v>
      </c>
      <c r="C276" s="273"/>
      <c r="D276" s="1923" t="s">
        <v>1310</v>
      </c>
      <c r="E276" s="1923"/>
      <c r="F276" s="1923"/>
      <c r="G276" s="130"/>
    </row>
    <row r="277" spans="1:7" s="39" customFormat="1">
      <c r="A277" s="273"/>
      <c r="B277" s="273"/>
      <c r="C277" s="273"/>
      <c r="D277" s="1923"/>
      <c r="E277" s="1923"/>
      <c r="F277" s="1923"/>
      <c r="G277" s="130"/>
    </row>
    <row r="278" spans="1:7" s="39" customFormat="1" ht="14.4">
      <c r="A278" s="404"/>
      <c r="B278" s="404"/>
      <c r="C278" s="273"/>
      <c r="D278" s="498"/>
      <c r="E278" s="499"/>
      <c r="F278" s="499"/>
      <c r="G278" s="130"/>
    </row>
    <row r="279" spans="1:7">
      <c r="A279" s="273"/>
      <c r="B279" s="680" t="s">
        <v>318</v>
      </c>
      <c r="D279" s="1873" t="s">
        <v>1311</v>
      </c>
      <c r="E279" s="1873"/>
      <c r="F279" s="1873"/>
    </row>
    <row r="280" spans="1:7">
      <c r="E280" s="135"/>
      <c r="F280" s="135"/>
    </row>
    <row r="281" spans="1:7" ht="14.4">
      <c r="A281" s="261"/>
      <c r="B281" s="680" t="s">
        <v>318</v>
      </c>
      <c r="D281" s="1869" t="s">
        <v>1312</v>
      </c>
      <c r="E281" s="1869"/>
      <c r="F281" s="1869"/>
    </row>
    <row r="282" spans="1:7" ht="14.4">
      <c r="A282" s="261"/>
      <c r="B282" s="261"/>
      <c r="D282" s="1869"/>
      <c r="E282" s="1869"/>
      <c r="F282" s="1869"/>
    </row>
    <row r="283" spans="1:7" s="720" customFormat="1" ht="14.4">
      <c r="A283" s="715"/>
      <c r="B283" s="715"/>
      <c r="C283" s="732"/>
      <c r="D283" s="1869"/>
      <c r="E283" s="1869"/>
      <c r="F283" s="1869"/>
      <c r="G283" s="7"/>
    </row>
    <row r="284" spans="1:7" s="720" customFormat="1" ht="14.4">
      <c r="A284" s="715"/>
      <c r="B284" s="715"/>
      <c r="C284" s="732"/>
      <c r="D284" s="1869"/>
      <c r="E284" s="1869"/>
      <c r="F284" s="1869"/>
      <c r="G284" s="7"/>
    </row>
    <row r="285" spans="1:7" s="720" customFormat="1" ht="14.4">
      <c r="A285" s="715"/>
      <c r="B285" s="715"/>
      <c r="C285" s="732"/>
      <c r="D285" s="1869"/>
      <c r="E285" s="1869"/>
      <c r="F285" s="1869"/>
      <c r="G285" s="7"/>
    </row>
    <row r="286" spans="1:7" s="720" customFormat="1" ht="14.4">
      <c r="A286" s="715"/>
      <c r="B286" s="715"/>
      <c r="C286" s="732"/>
      <c r="D286" s="1869"/>
      <c r="E286" s="1869"/>
      <c r="F286" s="1869"/>
      <c r="G286" s="7"/>
    </row>
    <row r="287" spans="1:7" s="720" customFormat="1" ht="14.4">
      <c r="A287" s="715"/>
      <c r="B287" s="715"/>
      <c r="C287" s="732"/>
      <c r="D287" s="1869"/>
      <c r="E287" s="1869"/>
      <c r="F287" s="1869"/>
      <c r="G287" s="7"/>
    </row>
    <row r="288" spans="1:7" s="720" customFormat="1" ht="14.4">
      <c r="A288" s="715"/>
      <c r="B288" s="715"/>
      <c r="C288" s="732"/>
      <c r="D288" s="1869"/>
      <c r="E288" s="1869"/>
      <c r="F288" s="1869"/>
      <c r="G288" s="7"/>
    </row>
    <row r="289" spans="1:7" s="720" customFormat="1" ht="14.4">
      <c r="A289" s="715"/>
      <c r="B289" s="715"/>
      <c r="C289" s="732"/>
      <c r="D289" s="1869"/>
      <c r="E289" s="1869"/>
      <c r="F289" s="1869"/>
      <c r="G289" s="7"/>
    </row>
    <row r="290" spans="1:7" s="720" customFormat="1" ht="14.4">
      <c r="A290" s="715"/>
      <c r="B290" s="715"/>
      <c r="C290" s="732"/>
      <c r="D290" s="1869"/>
      <c r="E290" s="1869"/>
      <c r="F290" s="1869"/>
      <c r="G290" s="7"/>
    </row>
    <row r="291" spans="1:7" s="720" customFormat="1" ht="14.4">
      <c r="A291" s="715"/>
      <c r="B291" s="715"/>
      <c r="C291" s="732"/>
      <c r="D291" s="1869"/>
      <c r="E291" s="1869"/>
      <c r="F291" s="1869"/>
      <c r="G291" s="7"/>
    </row>
    <row r="292" spans="1:7" s="720" customFormat="1" ht="14.4">
      <c r="A292" s="715"/>
      <c r="B292" s="715"/>
      <c r="C292" s="732"/>
      <c r="D292" s="1869"/>
      <c r="E292" s="1869"/>
      <c r="F292" s="1869"/>
      <c r="G292" s="7"/>
    </row>
    <row r="293" spans="1:7" ht="14.4">
      <c r="A293" s="261"/>
      <c r="B293" s="261"/>
      <c r="D293" s="1869"/>
      <c r="E293" s="1869"/>
      <c r="F293" s="1869"/>
    </row>
    <row r="294" spans="1:7" ht="14.4">
      <c r="A294" s="261"/>
      <c r="B294" s="261"/>
      <c r="D294" s="1869"/>
      <c r="E294" s="1869"/>
      <c r="F294" s="1869"/>
    </row>
    <row r="295" spans="1:7" ht="14.4">
      <c r="A295" s="261"/>
      <c r="B295" s="261"/>
      <c r="D295" s="1869"/>
      <c r="E295" s="1869"/>
      <c r="F295" s="1869"/>
    </row>
    <row r="296" spans="1:7">
      <c r="D296" s="135"/>
      <c r="E296" s="135"/>
      <c r="F296" s="135"/>
    </row>
    <row r="297" spans="1:7" ht="14.4">
      <c r="A297" s="261"/>
      <c r="B297" s="680" t="s">
        <v>318</v>
      </c>
      <c r="D297" s="1869" t="s">
        <v>1313</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ht="14.4">
      <c r="A307" s="261"/>
      <c r="B307" s="680" t="s">
        <v>318</v>
      </c>
      <c r="D307" s="1848" t="s">
        <v>1314</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20" customFormat="1">
      <c r="A313" s="732"/>
      <c r="B313" s="732"/>
      <c r="C313" s="732"/>
      <c r="D313" s="729"/>
      <c r="E313" s="729"/>
      <c r="F313" s="729"/>
    </row>
    <row r="314" spans="1:7" ht="13.8" thickBot="1">
      <c r="D314" s="1919" t="s">
        <v>1063</v>
      </c>
      <c r="E314" s="1919"/>
      <c r="F314" s="1919"/>
      <c r="G314" s="12"/>
    </row>
    <row r="315" spans="1:7" s="720" customFormat="1" ht="13.8" thickTop="1">
      <c r="A315" s="732"/>
      <c r="B315" s="732"/>
      <c r="C315" s="732"/>
      <c r="D315" s="1920" t="s">
        <v>1315</v>
      </c>
      <c r="E315" s="1920"/>
      <c r="F315" s="1920"/>
    </row>
    <row r="316" spans="1:7">
      <c r="A316" s="326"/>
      <c r="B316" s="326"/>
      <c r="C316" s="326"/>
      <c r="D316" s="468"/>
      <c r="E316" s="468"/>
      <c r="F316" s="135"/>
      <c r="G316" s="12"/>
    </row>
    <row r="317" spans="1:7" ht="14.4">
      <c r="A317" s="261"/>
      <c r="B317" s="680" t="s">
        <v>318</v>
      </c>
      <c r="C317" s="326"/>
      <c r="D317" s="1921" t="s">
        <v>1316</v>
      </c>
      <c r="E317" s="1921"/>
      <c r="F317" s="1921"/>
      <c r="G317" s="12"/>
    </row>
    <row r="318" spans="1:7">
      <c r="A318" s="326"/>
      <c r="B318" s="326"/>
      <c r="C318" s="326"/>
      <c r="D318" s="468"/>
      <c r="E318" s="468"/>
      <c r="F318" s="135"/>
      <c r="G318" s="12"/>
    </row>
    <row r="319" spans="1:7">
      <c r="A319" s="326"/>
      <c r="B319" s="680" t="s">
        <v>318</v>
      </c>
      <c r="C319" s="326"/>
      <c r="D319" s="1905" t="s">
        <v>1317</v>
      </c>
      <c r="E319" s="1905"/>
      <c r="F319" s="1905"/>
      <c r="G319" s="12"/>
    </row>
    <row r="320" spans="1:7">
      <c r="A320" s="326"/>
      <c r="B320" s="326"/>
      <c r="C320" s="326"/>
      <c r="D320" s="1905"/>
      <c r="E320" s="1905"/>
      <c r="F320" s="1905"/>
      <c r="G320" s="12"/>
    </row>
    <row r="321" spans="1:7">
      <c r="A321" s="326"/>
      <c r="B321" s="326"/>
      <c r="C321" s="326"/>
      <c r="D321" s="1905"/>
      <c r="E321" s="1905"/>
      <c r="F321" s="1905"/>
      <c r="G321" s="12"/>
    </row>
    <row r="322" spans="1:7">
      <c r="A322" s="326"/>
      <c r="B322" s="326"/>
      <c r="C322" s="326"/>
      <c r="D322" s="1905"/>
      <c r="E322" s="1905"/>
      <c r="F322" s="1905"/>
      <c r="G322" s="12"/>
    </row>
    <row r="323" spans="1:7" s="720" customFormat="1">
      <c r="A323" s="326"/>
      <c r="B323" s="326"/>
      <c r="C323" s="326"/>
      <c r="D323" s="1905"/>
      <c r="E323" s="1905"/>
      <c r="F323" s="1905"/>
    </row>
    <row r="324" spans="1:7" s="720" customFormat="1">
      <c r="A324" s="326"/>
      <c r="B324" s="326"/>
      <c r="C324" s="326"/>
      <c r="D324" s="1905"/>
      <c r="E324" s="1905"/>
      <c r="F324" s="1905"/>
    </row>
    <row r="325" spans="1:7" s="720" customFormat="1">
      <c r="A325" s="326"/>
      <c r="B325" s="326"/>
      <c r="C325" s="326"/>
      <c r="D325" s="1905"/>
      <c r="E325" s="1905"/>
      <c r="F325" s="1905"/>
    </row>
    <row r="326" spans="1:7" s="720" customFormat="1">
      <c r="A326" s="326"/>
      <c r="B326" s="326"/>
      <c r="C326" s="326"/>
      <c r="D326" s="1905"/>
      <c r="E326" s="1905"/>
      <c r="F326" s="1905"/>
    </row>
    <row r="327" spans="1:7">
      <c r="A327" s="326"/>
      <c r="B327" s="326"/>
      <c r="C327" s="326"/>
      <c r="D327" s="1905"/>
      <c r="E327" s="1905"/>
      <c r="F327" s="1905"/>
      <c r="G327" s="12"/>
    </row>
    <row r="328" spans="1:7">
      <c r="A328" s="326"/>
      <c r="B328" s="326"/>
      <c r="C328" s="326"/>
      <c r="D328" s="1905"/>
      <c r="E328" s="1905"/>
      <c r="F328" s="1905"/>
      <c r="G328" s="12"/>
    </row>
    <row r="329" spans="1:7">
      <c r="A329" s="326"/>
      <c r="B329" s="326"/>
      <c r="C329" s="326"/>
      <c r="D329" s="1905"/>
      <c r="E329" s="1905"/>
      <c r="F329" s="1905"/>
      <c r="G329" s="12"/>
    </row>
    <row r="330" spans="1:7">
      <c r="A330" s="326"/>
      <c r="B330" s="326"/>
      <c r="C330" s="326"/>
      <c r="D330" s="12"/>
      <c r="E330" s="468"/>
      <c r="F330" s="135"/>
      <c r="G330" s="12"/>
    </row>
    <row r="331" spans="1:7" ht="14.4">
      <c r="A331" s="261"/>
      <c r="B331" s="680" t="s">
        <v>318</v>
      </c>
      <c r="C331" s="326"/>
      <c r="D331" s="1924" t="s">
        <v>1318</v>
      </c>
      <c r="E331" s="1924"/>
      <c r="F331" s="1924"/>
      <c r="G331" s="12"/>
    </row>
    <row r="332" spans="1:7">
      <c r="A332" s="326"/>
      <c r="B332" s="326"/>
      <c r="C332" s="326"/>
      <c r="D332" s="1924"/>
      <c r="E332" s="1924"/>
      <c r="F332" s="1924"/>
      <c r="G332" s="12"/>
    </row>
    <row r="333" spans="1:7">
      <c r="A333" s="326"/>
      <c r="B333" s="326"/>
      <c r="C333" s="326"/>
      <c r="D333" s="1924"/>
      <c r="E333" s="1924"/>
      <c r="F333" s="1924"/>
      <c r="G333" s="12"/>
    </row>
    <row r="334" spans="1:7">
      <c r="A334" s="326"/>
      <c r="B334" s="326"/>
      <c r="C334" s="326"/>
      <c r="D334" s="1924"/>
      <c r="E334" s="1924"/>
      <c r="F334" s="1924"/>
      <c r="G334" s="12"/>
    </row>
    <row r="335" spans="1:7">
      <c r="A335" s="326"/>
      <c r="B335" s="326"/>
      <c r="C335" s="326"/>
      <c r="D335" s="506"/>
      <c r="E335" s="468"/>
      <c r="F335" s="135"/>
      <c r="G335" s="12"/>
    </row>
    <row r="336" spans="1:7">
      <c r="A336" s="326"/>
      <c r="B336" s="326"/>
      <c r="C336" s="326"/>
      <c r="D336" s="1924" t="s">
        <v>1319</v>
      </c>
      <c r="E336" s="1924"/>
      <c r="F336" s="1924"/>
      <c r="G336" s="12"/>
    </row>
    <row r="337" spans="1:7">
      <c r="A337" s="326"/>
      <c r="B337" s="326"/>
      <c r="C337" s="326"/>
      <c r="D337" s="1924"/>
      <c r="E337" s="1924"/>
      <c r="F337" s="1924"/>
      <c r="G337" s="12"/>
    </row>
    <row r="338" spans="1:7">
      <c r="A338" s="326"/>
      <c r="B338" s="326"/>
      <c r="C338" s="326"/>
      <c r="D338" s="1924"/>
      <c r="E338" s="1924"/>
      <c r="F338" s="1924"/>
      <c r="G338" s="12"/>
    </row>
    <row r="339" spans="1:7">
      <c r="A339" s="326"/>
      <c r="B339" s="326"/>
      <c r="C339" s="326"/>
      <c r="D339" s="1924"/>
      <c r="E339" s="1924"/>
      <c r="F339" s="1924"/>
      <c r="G339" s="12"/>
    </row>
    <row r="340" spans="1:7" ht="18" customHeight="1">
      <c r="A340" s="326"/>
      <c r="B340" s="326"/>
      <c r="C340" s="326"/>
      <c r="D340" s="1924"/>
      <c r="E340" s="1924"/>
      <c r="F340" s="1924"/>
      <c r="G340" s="12"/>
    </row>
    <row r="341" spans="1:7">
      <c r="A341" s="326"/>
      <c r="B341" s="326"/>
      <c r="C341" s="326"/>
      <c r="D341" s="1924"/>
      <c r="E341" s="1924"/>
      <c r="F341" s="1924"/>
      <c r="G341" s="12"/>
    </row>
    <row r="342" spans="1:7">
      <c r="A342" s="326"/>
      <c r="B342" s="326"/>
      <c r="C342" s="326"/>
      <c r="D342" s="1924"/>
      <c r="E342" s="1924"/>
      <c r="F342" s="1924"/>
      <c r="G342" s="12"/>
    </row>
    <row r="343" spans="1:7">
      <c r="A343" s="326"/>
      <c r="B343" s="326"/>
      <c r="C343" s="326"/>
      <c r="D343" s="1924"/>
      <c r="E343" s="1924"/>
      <c r="F343" s="1924"/>
      <c r="G343" s="12"/>
    </row>
    <row r="344" spans="1:7" ht="8.25" customHeight="1">
      <c r="A344" s="326"/>
      <c r="B344" s="326"/>
      <c r="C344" s="326"/>
      <c r="D344" s="1924"/>
      <c r="E344" s="1924"/>
      <c r="F344" s="1924"/>
      <c r="G344" s="12"/>
    </row>
    <row r="345" spans="1:7" ht="13.2" customHeight="1">
      <c r="A345" s="326"/>
      <c r="B345" s="326"/>
      <c r="C345" s="326"/>
      <c r="D345" s="1917" t="s">
        <v>1320</v>
      </c>
      <c r="E345" s="1917"/>
      <c r="F345" s="1917"/>
      <c r="G345" s="12"/>
    </row>
    <row r="346" spans="1:7">
      <c r="A346" s="326"/>
      <c r="B346" s="326"/>
      <c r="C346" s="326"/>
      <c r="D346" s="1917"/>
      <c r="E346" s="1917"/>
      <c r="F346" s="1917"/>
      <c r="G346" s="12"/>
    </row>
    <row r="347" spans="1:7">
      <c r="A347" s="326"/>
      <c r="B347" s="326"/>
      <c r="C347" s="326"/>
      <c r="D347" s="1917"/>
      <c r="E347" s="1917"/>
      <c r="F347" s="1917"/>
      <c r="G347" s="12"/>
    </row>
    <row r="348" spans="1:7" s="720" customFormat="1">
      <c r="A348" s="326"/>
      <c r="B348" s="326"/>
      <c r="C348" s="326"/>
      <c r="D348" s="1917"/>
      <c r="E348" s="1917"/>
      <c r="F348" s="1917"/>
    </row>
    <row r="349" spans="1:7" s="720" customFormat="1">
      <c r="A349" s="326"/>
      <c r="B349" s="326"/>
      <c r="C349" s="326"/>
      <c r="D349" s="1917"/>
      <c r="E349" s="1917"/>
      <c r="F349" s="1917"/>
    </row>
    <row r="350" spans="1:7" s="720" customFormat="1">
      <c r="A350" s="326"/>
      <c r="B350" s="326"/>
      <c r="C350" s="326"/>
      <c r="D350" s="1917"/>
      <c r="E350" s="1917"/>
      <c r="F350" s="1917"/>
    </row>
    <row r="351" spans="1:7" s="720" customFormat="1">
      <c r="A351" s="326"/>
      <c r="B351" s="326"/>
      <c r="C351" s="326"/>
      <c r="D351" s="1917"/>
      <c r="E351" s="1917"/>
      <c r="F351" s="1917"/>
    </row>
    <row r="352" spans="1:7" s="720" customFormat="1">
      <c r="A352" s="326"/>
      <c r="B352" s="326"/>
      <c r="C352" s="326"/>
      <c r="D352" s="1917"/>
      <c r="E352" s="1917"/>
      <c r="F352" s="1917"/>
    </row>
    <row r="353" spans="1:7">
      <c r="A353" s="326"/>
      <c r="B353" s="326"/>
      <c r="C353" s="326"/>
      <c r="D353" s="1917"/>
      <c r="E353" s="1917"/>
      <c r="F353" s="1917"/>
      <c r="G353" s="12"/>
    </row>
    <row r="354" spans="1:7">
      <c r="A354" s="326"/>
      <c r="B354" s="326"/>
      <c r="C354" s="326"/>
      <c r="D354" s="1917"/>
      <c r="E354" s="1917"/>
      <c r="F354" s="1917"/>
      <c r="G354" s="12"/>
    </row>
    <row r="355" spans="1:7">
      <c r="A355" s="326"/>
      <c r="B355" s="326"/>
      <c r="C355" s="326"/>
      <c r="D355" s="1917"/>
      <c r="E355" s="1917"/>
      <c r="F355" s="1917"/>
      <c r="G355" s="12"/>
    </row>
    <row r="356" spans="1:7">
      <c r="A356" s="326"/>
      <c r="B356" s="326"/>
      <c r="C356" s="326"/>
      <c r="D356" s="1917"/>
      <c r="E356" s="1917"/>
      <c r="F356" s="1917"/>
      <c r="G356" s="12"/>
    </row>
    <row r="357" spans="1:7">
      <c r="A357" s="326"/>
      <c r="B357" s="326"/>
      <c r="C357" s="508"/>
      <c r="D357" s="1917"/>
      <c r="E357" s="1917"/>
      <c r="F357" s="1917"/>
      <c r="G357" s="12"/>
    </row>
    <row r="358" spans="1:7">
      <c r="A358" s="326"/>
      <c r="B358" s="326"/>
      <c r="C358" s="508"/>
      <c r="D358" s="1917"/>
      <c r="E358" s="1917"/>
      <c r="F358" s="1917"/>
      <c r="G358" s="12"/>
    </row>
    <row r="359" spans="1:7">
      <c r="A359" s="326"/>
      <c r="B359" s="326"/>
      <c r="C359" s="326"/>
      <c r="D359" s="1917"/>
      <c r="E359" s="1917"/>
      <c r="F359" s="1917"/>
      <c r="G359" s="12"/>
    </row>
    <row r="360" spans="1:7">
      <c r="A360" s="326"/>
      <c r="B360" s="326"/>
      <c r="C360" s="508"/>
      <c r="D360" s="1917"/>
      <c r="E360" s="1917"/>
      <c r="F360" s="1917"/>
      <c r="G360" s="12"/>
    </row>
    <row r="361" spans="1:7">
      <c r="A361" s="326"/>
      <c r="B361" s="326"/>
      <c r="C361" s="508"/>
      <c r="D361" s="1917"/>
      <c r="E361" s="1917"/>
      <c r="F361" s="1917"/>
      <c r="G361" s="12"/>
    </row>
    <row r="362" spans="1:7">
      <c r="A362" s="326"/>
      <c r="B362" s="326"/>
      <c r="C362" s="508"/>
      <c r="D362" s="1917"/>
      <c r="E362" s="1917"/>
      <c r="F362" s="1917"/>
      <c r="G362" s="12"/>
    </row>
    <row r="363" spans="1:7">
      <c r="A363" s="326"/>
      <c r="B363" s="326"/>
      <c r="C363" s="326"/>
      <c r="D363" s="506"/>
      <c r="E363" s="468"/>
      <c r="F363" s="135"/>
      <c r="G363" s="12"/>
    </row>
    <row r="364" spans="1:7">
      <c r="A364" s="326"/>
      <c r="B364" s="680" t="s">
        <v>318</v>
      </c>
      <c r="C364" s="326"/>
      <c r="D364" s="1917" t="s">
        <v>1321</v>
      </c>
      <c r="E364" s="1917"/>
      <c r="F364" s="1917"/>
      <c r="G364" s="12"/>
    </row>
    <row r="365" spans="1:7">
      <c r="A365" s="326"/>
      <c r="B365" s="326"/>
      <c r="C365" s="326"/>
      <c r="D365" s="1917"/>
      <c r="E365" s="1917"/>
      <c r="F365" s="1917"/>
      <c r="G365" s="12"/>
    </row>
    <row r="366" spans="1:7">
      <c r="A366" s="326"/>
      <c r="B366" s="326"/>
      <c r="C366" s="326"/>
      <c r="D366" s="468"/>
      <c r="E366" s="468"/>
      <c r="F366" s="135"/>
      <c r="G366" s="12"/>
    </row>
    <row r="367" spans="1:7" ht="14.4">
      <c r="A367" s="261"/>
      <c r="B367" s="680" t="s">
        <v>318</v>
      </c>
      <c r="C367" s="326"/>
      <c r="D367" s="1905" t="s">
        <v>1322</v>
      </c>
      <c r="E367" s="1905"/>
      <c r="F367" s="1905"/>
      <c r="G367" s="12"/>
    </row>
    <row r="368" spans="1:7" ht="14.4">
      <c r="A368" s="507"/>
      <c r="B368" s="507"/>
      <c r="C368" s="326"/>
      <c r="D368" s="1905"/>
      <c r="E368" s="1905"/>
      <c r="F368" s="1905"/>
      <c r="G368" s="12"/>
    </row>
    <row r="369" spans="1:7" ht="14.4">
      <c r="A369" s="507"/>
      <c r="B369" s="507"/>
      <c r="C369" s="326"/>
      <c r="D369" s="1905"/>
      <c r="E369" s="1905"/>
      <c r="F369" s="1905"/>
      <c r="G369" s="12"/>
    </row>
    <row r="370" spans="1:7" ht="14.4">
      <c r="A370" s="507"/>
      <c r="B370" s="507"/>
      <c r="C370" s="326"/>
      <c r="D370" s="1905"/>
      <c r="E370" s="1905"/>
      <c r="F370" s="1905"/>
      <c r="G370" s="12"/>
    </row>
    <row r="371" spans="1:7" ht="14.4">
      <c r="A371" s="507"/>
      <c r="B371" s="507"/>
      <c r="C371" s="326"/>
      <c r="D371" s="1905"/>
      <c r="E371" s="1905"/>
      <c r="F371" s="1905"/>
      <c r="G371" s="12"/>
    </row>
    <row r="372" spans="1:7">
      <c r="D372" s="135"/>
      <c r="E372" s="135"/>
      <c r="F372" s="135"/>
      <c r="G372" s="12"/>
    </row>
    <row r="373" spans="1:7" ht="14.4">
      <c r="A373" s="261"/>
      <c r="B373" s="680" t="s">
        <v>318</v>
      </c>
      <c r="C373" s="266"/>
      <c r="D373" s="1848" t="s">
        <v>1323</v>
      </c>
      <c r="E373" s="1848"/>
      <c r="F373" s="1848"/>
      <c r="G373" s="12"/>
    </row>
    <row r="374" spans="1:7" ht="14.4">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7"/>
      <c r="C402" s="132"/>
      <c r="D402" s="1848"/>
      <c r="E402" s="1848"/>
      <c r="F402" s="1848"/>
      <c r="G402" s="30"/>
    </row>
    <row r="403" spans="1:7" s="32" customFormat="1" ht="40.65" customHeight="1">
      <c r="A403" s="132"/>
      <c r="B403" s="677"/>
      <c r="C403" s="132"/>
      <c r="D403" s="1848"/>
      <c r="E403" s="1848"/>
      <c r="F403" s="1848"/>
      <c r="G403" s="30"/>
    </row>
    <row r="404" spans="1:7" s="32" customFormat="1">
      <c r="A404" s="132"/>
      <c r="B404" s="677"/>
      <c r="C404" s="132"/>
      <c r="D404" s="135"/>
      <c r="E404" s="135"/>
      <c r="F404" s="135"/>
      <c r="G404" s="30"/>
    </row>
    <row r="405" spans="1:7" ht="14.4">
      <c r="A405" s="261"/>
      <c r="B405" s="680" t="s">
        <v>318</v>
      </c>
      <c r="C405" s="266"/>
      <c r="D405" s="1873" t="s">
        <v>1324</v>
      </c>
      <c r="E405" s="1873"/>
      <c r="F405" s="1873"/>
    </row>
    <row r="406" spans="1:7">
      <c r="D406" s="1918" t="s">
        <v>1088</v>
      </c>
      <c r="E406" s="1918"/>
      <c r="F406" s="1918"/>
    </row>
    <row r="407" spans="1:7">
      <c r="D407" s="1869" t="s">
        <v>1325</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ht="14.4">
      <c r="A412" s="261"/>
      <c r="B412" s="680" t="s">
        <v>318</v>
      </c>
      <c r="C412" s="266"/>
      <c r="D412" s="1848" t="s">
        <v>1326</v>
      </c>
      <c r="E412" s="1848"/>
      <c r="F412" s="1848"/>
      <c r="G412" s="12"/>
    </row>
    <row r="413" spans="1:7">
      <c r="D413" s="1848"/>
      <c r="E413" s="1848"/>
      <c r="F413" s="1848"/>
      <c r="G413" s="12"/>
    </row>
    <row r="414" spans="1:7">
      <c r="D414" s="1848"/>
      <c r="E414" s="1848"/>
      <c r="F414" s="1848"/>
      <c r="G414" s="12"/>
    </row>
    <row r="415" spans="1:7" s="720" customFormat="1">
      <c r="A415" s="732"/>
      <c r="B415" s="732"/>
      <c r="C415" s="732"/>
      <c r="D415" s="729"/>
      <c r="E415" s="729"/>
      <c r="F415" s="729"/>
    </row>
    <row r="416" spans="1:7" ht="14.4">
      <c r="B416" s="680" t="s">
        <v>318</v>
      </c>
      <c r="C416" s="261"/>
      <c r="D416" s="1869" t="s">
        <v>1327</v>
      </c>
      <c r="E416" s="1869"/>
      <c r="F416" s="1869"/>
      <c r="G416" s="12"/>
    </row>
    <row r="417" spans="1:7">
      <c r="D417" s="1869"/>
      <c r="E417" s="1869"/>
      <c r="F417" s="1869"/>
      <c r="G417" s="12"/>
    </row>
    <row r="418" spans="1:7">
      <c r="D418" s="135"/>
      <c r="E418" s="135"/>
      <c r="F418" s="135"/>
      <c r="G418" s="12"/>
    </row>
    <row r="419" spans="1:7" ht="14.4">
      <c r="B419" s="680" t="s">
        <v>318</v>
      </c>
      <c r="C419" s="261"/>
      <c r="D419" s="1869" t="s">
        <v>1328</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80" t="s">
        <v>318</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80" t="s">
        <v>318</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80" t="s">
        <v>318</v>
      </c>
      <c r="C430" s="12"/>
      <c r="D430" s="1869"/>
      <c r="E430" s="1869"/>
      <c r="F430" s="1869"/>
      <c r="G430" s="12"/>
    </row>
    <row r="431" spans="1:7">
      <c r="A431" s="12"/>
      <c r="B431" s="12"/>
      <c r="C431" s="12"/>
      <c r="D431" s="1869"/>
      <c r="E431" s="1869"/>
      <c r="F431" s="1869"/>
      <c r="G431" s="12"/>
    </row>
    <row r="432" spans="1:7">
      <c r="A432" s="12"/>
      <c r="B432" s="680" t="s">
        <v>318</v>
      </c>
      <c r="C432" s="12"/>
      <c r="D432" s="1869"/>
      <c r="E432" s="1869"/>
      <c r="F432" s="1869"/>
      <c r="G432" s="12"/>
    </row>
    <row r="433" spans="1:7" s="720" customFormat="1">
      <c r="D433" s="730"/>
      <c r="E433" s="730"/>
      <c r="F433" s="730"/>
    </row>
    <row r="434" spans="1:7">
      <c r="A434" s="12"/>
      <c r="B434" s="719" t="s">
        <v>318</v>
      </c>
      <c r="C434" s="12"/>
      <c r="D434" s="1869" t="s">
        <v>1329</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80" t="s">
        <v>318</v>
      </c>
      <c r="D440" s="1880" t="s">
        <v>1330</v>
      </c>
      <c r="E440" s="1880"/>
      <c r="F440" s="1880"/>
    </row>
    <row r="441" spans="1:7">
      <c r="A441" s="135"/>
      <c r="B441" s="135"/>
    </row>
    <row r="442" spans="1:7">
      <c r="A442" s="1874" t="s">
        <v>1171</v>
      </c>
      <c r="B442" s="1874"/>
      <c r="C442" s="1874"/>
      <c r="D442" s="1874"/>
      <c r="E442" s="1874"/>
      <c r="F442" s="1874"/>
      <c r="G442" s="1874"/>
    </row>
    <row r="443" spans="1:7">
      <c r="A443" s="135"/>
      <c r="B443" s="135"/>
    </row>
    <row r="444" spans="1:7">
      <c r="D444" s="1925" t="s">
        <v>951</v>
      </c>
      <c r="E444" s="1925"/>
      <c r="F444" s="1925"/>
    </row>
    <row r="445" spans="1:7" s="39" customFormat="1" ht="14.4">
      <c r="A445" s="404"/>
      <c r="B445" s="404"/>
      <c r="C445" s="273"/>
      <c r="D445" s="1926" t="s">
        <v>1331</v>
      </c>
      <c r="E445" s="1926"/>
      <c r="F445" s="1926"/>
      <c r="G445" s="130"/>
    </row>
    <row r="446" spans="1:7" s="39" customFormat="1" ht="14.4">
      <c r="A446" s="404"/>
      <c r="B446" s="404"/>
      <c r="C446" s="273"/>
      <c r="D446" s="733"/>
      <c r="E446" s="6"/>
      <c r="F446" s="6"/>
      <c r="G446" s="130"/>
    </row>
    <row r="447" spans="1:7" s="39" customFormat="1" ht="14.4">
      <c r="A447" s="261"/>
      <c r="B447" s="680" t="s">
        <v>318</v>
      </c>
      <c r="C447" s="273"/>
      <c r="D447" s="1927" t="s">
        <v>1332</v>
      </c>
      <c r="E447" s="1927"/>
      <c r="F447" s="1927"/>
      <c r="G447" s="130"/>
    </row>
    <row r="448" spans="1:7" s="39" customFormat="1" ht="14.4">
      <c r="A448" s="261"/>
      <c r="B448" s="261"/>
      <c r="C448" s="273"/>
      <c r="D448" s="1927"/>
      <c r="E448" s="1927"/>
      <c r="F448" s="1927"/>
      <c r="G448" s="130"/>
    </row>
    <row r="449" spans="1:7" s="39" customFormat="1" ht="14.4">
      <c r="A449" s="261"/>
      <c r="B449" s="261"/>
      <c r="C449" s="273"/>
      <c r="D449" s="731"/>
      <c r="E449" s="6"/>
      <c r="F449" s="6"/>
      <c r="G449" s="130"/>
    </row>
    <row r="450" spans="1:7">
      <c r="B450" s="680" t="s">
        <v>318</v>
      </c>
      <c r="D450" s="1897" t="s">
        <v>1333</v>
      </c>
      <c r="E450" s="1897"/>
      <c r="F450" s="1897"/>
    </row>
    <row r="451" spans="1:7" ht="14.4">
      <c r="A451" s="261"/>
      <c r="D451" s="1897"/>
      <c r="E451" s="1897"/>
      <c r="F451" s="1897"/>
    </row>
    <row r="452" spans="1:7" ht="14.4">
      <c r="A452" s="261"/>
      <c r="B452" s="261"/>
      <c r="D452" s="1897"/>
      <c r="E452" s="1897"/>
      <c r="F452" s="1897"/>
    </row>
    <row r="453" spans="1:7" ht="14.4">
      <c r="A453" s="261"/>
      <c r="B453" s="261"/>
      <c r="D453" s="1897"/>
      <c r="E453" s="1897"/>
      <c r="F453" s="1897"/>
    </row>
    <row r="454" spans="1:7">
      <c r="D454" s="679"/>
      <c r="E454" s="679"/>
      <c r="F454" s="679"/>
      <c r="G454" s="12"/>
    </row>
    <row r="455" spans="1:7" ht="14.4">
      <c r="A455" s="261"/>
      <c r="B455" s="680" t="s">
        <v>318</v>
      </c>
      <c r="D455" s="1850" t="s">
        <v>1334</v>
      </c>
      <c r="E455" s="1850"/>
      <c r="F455" s="1850"/>
      <c r="G455" s="12"/>
    </row>
    <row r="456" spans="1:7" ht="14.4">
      <c r="A456" s="261"/>
      <c r="B456" s="261"/>
      <c r="D456" s="1850"/>
      <c r="E456" s="1850"/>
      <c r="F456" s="1850"/>
      <c r="G456" s="12"/>
    </row>
    <row r="457" spans="1:7" ht="14.4">
      <c r="A457" s="261"/>
      <c r="D457" s="1850"/>
      <c r="E457" s="1850"/>
      <c r="F457" s="1850"/>
      <c r="G457" s="12"/>
    </row>
    <row r="458" spans="1:7" ht="14.4">
      <c r="A458" s="261"/>
      <c r="B458" s="261"/>
      <c r="D458" s="679"/>
      <c r="E458" s="679"/>
      <c r="F458" s="679"/>
      <c r="G458" s="12"/>
    </row>
    <row r="459" spans="1:7" ht="14.4">
      <c r="A459" s="261"/>
      <c r="B459" s="719" t="s">
        <v>318</v>
      </c>
      <c r="D459" s="1873" t="s">
        <v>1335</v>
      </c>
      <c r="E459" s="1873"/>
      <c r="F459" s="1873"/>
      <c r="G459" s="12"/>
    </row>
    <row r="460" spans="1:7" ht="14.4">
      <c r="A460" s="261"/>
      <c r="B460" s="261"/>
      <c r="D460" s="731"/>
      <c r="E460" s="6"/>
      <c r="F460" s="6"/>
      <c r="G460" s="12"/>
    </row>
    <row r="461" spans="1:7" ht="14.4">
      <c r="A461" s="261"/>
      <c r="B461" s="680" t="s">
        <v>318</v>
      </c>
      <c r="D461" s="1848" t="s">
        <v>1336</v>
      </c>
      <c r="E461" s="1848"/>
      <c r="F461" s="1848"/>
      <c r="G461" s="12"/>
    </row>
    <row r="462" spans="1:7" ht="14.4">
      <c r="A462" s="261"/>
      <c r="D462" s="1848"/>
      <c r="E462" s="1848"/>
      <c r="F462" s="1848"/>
      <c r="G462" s="12"/>
    </row>
    <row r="463" spans="1:7">
      <c r="A463" s="23"/>
      <c r="B463" s="676"/>
      <c r="D463" s="734"/>
      <c r="E463" s="6"/>
      <c r="F463" s="6"/>
      <c r="G463" s="12"/>
    </row>
    <row r="464" spans="1:7">
      <c r="A464" s="23"/>
      <c r="B464" s="719" t="s">
        <v>318</v>
      </c>
      <c r="D464" s="1873" t="s">
        <v>1337</v>
      </c>
      <c r="E464" s="1873"/>
      <c r="F464" s="1873"/>
      <c r="G464" s="12"/>
    </row>
    <row r="465" spans="1:7" ht="14.4">
      <c r="A465" s="261"/>
      <c r="B465" s="261"/>
      <c r="D465" s="135"/>
    </row>
    <row r="466" spans="1:7">
      <c r="A466" s="1874" t="s">
        <v>1172</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928" t="s">
        <v>854</v>
      </c>
      <c r="E468" s="1928"/>
      <c r="F468" s="1928"/>
      <c r="G468" s="182"/>
    </row>
    <row r="469" spans="1:7" customFormat="1" ht="13.2" customHeight="1">
      <c r="A469" s="260"/>
      <c r="B469" s="260"/>
      <c r="C469" s="314"/>
      <c r="D469" s="1929" t="s">
        <v>1215</v>
      </c>
      <c r="E469" s="1929"/>
      <c r="F469" s="1929"/>
      <c r="G469" s="149"/>
    </row>
    <row r="470" spans="1:7" customFormat="1">
      <c r="A470" s="260"/>
      <c r="B470" s="260"/>
      <c r="C470" s="314"/>
      <c r="D470" s="1929"/>
      <c r="E470" s="1929"/>
      <c r="F470" s="1929"/>
      <c r="G470" s="149"/>
    </row>
    <row r="471" spans="1:7" customFormat="1">
      <c r="A471" s="260"/>
      <c r="B471" s="260"/>
      <c r="C471" s="314"/>
      <c r="D471" s="1929"/>
      <c r="E471" s="1929"/>
      <c r="F471" s="1929"/>
      <c r="G471" s="149"/>
    </row>
    <row r="472" spans="1:7" customFormat="1">
      <c r="A472" s="260"/>
      <c r="B472" s="260"/>
      <c r="C472" s="314"/>
      <c r="D472" s="1929"/>
      <c r="E472" s="1929"/>
      <c r="F472" s="1929"/>
      <c r="G472" s="149"/>
    </row>
    <row r="473" spans="1:7" customFormat="1">
      <c r="A473" s="260"/>
      <c r="B473" s="260"/>
      <c r="C473" s="314"/>
      <c r="D473" s="1929"/>
      <c r="E473" s="1929"/>
      <c r="F473" s="1929"/>
      <c r="G473" s="149"/>
    </row>
    <row r="474" spans="1:7" customFormat="1">
      <c r="A474" s="260"/>
      <c r="B474" s="260"/>
      <c r="C474" s="314"/>
      <c r="D474" s="472"/>
      <c r="E474" s="149"/>
      <c r="F474" s="151"/>
      <c r="G474" s="149"/>
    </row>
    <row r="475" spans="1:7" customFormat="1" ht="14.4" customHeight="1">
      <c r="A475" s="261"/>
      <c r="B475" s="680" t="s">
        <v>318</v>
      </c>
      <c r="C475" s="314"/>
      <c r="D475" s="1895" t="s">
        <v>1206</v>
      </c>
      <c r="E475" s="1895"/>
      <c r="F475" s="1895"/>
      <c r="G475" s="149"/>
    </row>
    <row r="476" spans="1:7" customFormat="1">
      <c r="A476" s="260"/>
      <c r="B476" s="260"/>
      <c r="C476" s="314"/>
      <c r="D476" s="1895"/>
      <c r="E476" s="1895"/>
      <c r="F476" s="1895"/>
      <c r="G476" s="149"/>
    </row>
    <row r="477" spans="1:7" s="681" customFormat="1">
      <c r="A477" s="260"/>
      <c r="B477" s="260"/>
      <c r="C477" s="314"/>
      <c r="D477" s="1895"/>
      <c r="E477" s="1895"/>
      <c r="F477" s="1895"/>
      <c r="G477" s="149"/>
    </row>
    <row r="478" spans="1:7" s="681" customFormat="1">
      <c r="A478" s="260"/>
      <c r="B478" s="260"/>
      <c r="C478" s="314"/>
      <c r="D478" s="1895"/>
      <c r="E478" s="1895"/>
      <c r="F478" s="1895"/>
      <c r="G478" s="149"/>
    </row>
    <row r="479" spans="1:7" customFormat="1">
      <c r="A479" s="260"/>
      <c r="B479" s="260"/>
      <c r="C479" s="314"/>
      <c r="D479" s="1895"/>
      <c r="E479" s="1895"/>
      <c r="F479" s="1895"/>
      <c r="G479" s="149"/>
    </row>
    <row r="480" spans="1:7" customFormat="1">
      <c r="A480" s="260"/>
      <c r="B480" s="260"/>
      <c r="C480" s="314"/>
      <c r="D480" s="444"/>
      <c r="E480" s="149"/>
      <c r="F480" s="151"/>
      <c r="G480" s="149"/>
    </row>
    <row r="481" spans="1:7" customFormat="1" ht="14.4" customHeight="1">
      <c r="A481" s="261"/>
      <c r="B481" s="680" t="s">
        <v>318</v>
      </c>
      <c r="C481" s="314"/>
      <c r="D481" s="1895" t="s">
        <v>1209</v>
      </c>
      <c r="E481" s="1895"/>
      <c r="F481" s="1895"/>
      <c r="G481" s="149"/>
    </row>
    <row r="482" spans="1:7" customFormat="1">
      <c r="A482" s="260"/>
      <c r="B482" s="260"/>
      <c r="C482" s="314"/>
      <c r="D482" s="1895"/>
      <c r="E482" s="1895"/>
      <c r="F482" s="1895"/>
      <c r="G482" s="149"/>
    </row>
    <row r="483" spans="1:7" s="681" customFormat="1">
      <c r="A483" s="260"/>
      <c r="B483" s="260"/>
      <c r="C483" s="314"/>
      <c r="D483" s="1895"/>
      <c r="E483" s="1895"/>
      <c r="F483" s="1895"/>
      <c r="G483" s="149"/>
    </row>
    <row r="484" spans="1:7" customFormat="1">
      <c r="A484" s="260"/>
      <c r="B484" s="260"/>
      <c r="C484" s="314"/>
      <c r="D484" s="1895"/>
      <c r="E484" s="1895"/>
      <c r="F484" s="1895"/>
      <c r="G484" s="149"/>
    </row>
    <row r="485" spans="1:7" customFormat="1" ht="9.9" customHeight="1">
      <c r="A485" s="260"/>
      <c r="B485" s="260"/>
      <c r="C485" s="314"/>
      <c r="D485" s="444"/>
      <c r="E485" s="149"/>
      <c r="F485" s="151"/>
      <c r="G485" s="149"/>
    </row>
    <row r="486" spans="1:7" customFormat="1" ht="14.4" customHeight="1">
      <c r="A486" s="261"/>
      <c r="B486" s="680" t="s">
        <v>318</v>
      </c>
      <c r="C486" s="314"/>
      <c r="D486" s="1895" t="s">
        <v>1207</v>
      </c>
      <c r="E486" s="1895"/>
      <c r="F486" s="1895"/>
      <c r="G486" s="149"/>
    </row>
    <row r="487" spans="1:7" customFormat="1">
      <c r="A487" s="260"/>
      <c r="B487" s="260"/>
      <c r="C487" s="314"/>
      <c r="D487" s="1895"/>
      <c r="E487" s="1895"/>
      <c r="F487" s="1895"/>
      <c r="G487" s="149"/>
    </row>
    <row r="488" spans="1:7" customFormat="1">
      <c r="A488" s="260"/>
      <c r="B488" s="260"/>
      <c r="C488" s="314"/>
      <c r="D488" s="1895"/>
      <c r="E488" s="1895"/>
      <c r="F488" s="1895"/>
      <c r="G488" s="149"/>
    </row>
    <row r="489" spans="1:7" s="681" customFormat="1">
      <c r="A489" s="260"/>
      <c r="B489" s="260"/>
      <c r="C489" s="314"/>
      <c r="D489" s="701"/>
      <c r="E489" s="701"/>
      <c r="F489" s="701"/>
      <c r="G489" s="149"/>
    </row>
    <row r="490" spans="1:7" customFormat="1" ht="14.4" customHeight="1">
      <c r="A490" s="261"/>
      <c r="B490" s="680" t="s">
        <v>318</v>
      </c>
      <c r="C490" s="314"/>
      <c r="D490" s="1895" t="s">
        <v>1208</v>
      </c>
      <c r="E490" s="1895"/>
      <c r="F490" s="1895"/>
      <c r="G490" s="149"/>
    </row>
    <row r="491" spans="1:7" customFormat="1">
      <c r="A491" s="260"/>
      <c r="B491" s="260"/>
      <c r="C491" s="314"/>
      <c r="D491" s="1895"/>
      <c r="E491" s="1895"/>
      <c r="F491" s="1895"/>
      <c r="G491" s="149"/>
    </row>
    <row r="492" spans="1:7" customFormat="1">
      <c r="A492" s="260"/>
      <c r="B492" s="260"/>
      <c r="C492" s="314"/>
      <c r="D492" s="1895"/>
      <c r="E492" s="1895"/>
      <c r="F492" s="1895"/>
      <c r="G492" s="149"/>
    </row>
    <row r="493" spans="1:7" customFormat="1">
      <c r="A493" s="260"/>
      <c r="B493" s="260"/>
      <c r="C493" s="314"/>
      <c r="D493" s="1895"/>
      <c r="E493" s="1895"/>
      <c r="F493" s="1895"/>
      <c r="G493" s="149"/>
    </row>
    <row r="494" spans="1:7" customFormat="1">
      <c r="A494" s="260"/>
      <c r="B494" s="260"/>
      <c r="C494" s="314"/>
      <c r="D494" s="1895"/>
      <c r="E494" s="1895"/>
      <c r="F494" s="1895"/>
      <c r="G494" s="149"/>
    </row>
    <row r="495" spans="1:7" customFormat="1">
      <c r="A495" s="260"/>
      <c r="B495" s="260"/>
      <c r="C495" s="314"/>
      <c r="D495" s="1895"/>
      <c r="E495" s="1895"/>
      <c r="F495" s="1895"/>
      <c r="G495" s="149"/>
    </row>
    <row r="496" spans="1:7" customFormat="1">
      <c r="A496" s="260"/>
      <c r="B496" s="260"/>
      <c r="C496" s="314"/>
      <c r="D496" s="1895"/>
      <c r="E496" s="1895"/>
      <c r="F496" s="1895"/>
      <c r="G496" s="149"/>
    </row>
    <row r="497" spans="1:7" customFormat="1">
      <c r="A497" s="488"/>
      <c r="B497" s="488"/>
      <c r="C497" s="487"/>
      <c r="D497" s="1895"/>
      <c r="E497" s="1895"/>
      <c r="F497" s="1895"/>
      <c r="G497" s="149"/>
    </row>
    <row r="498" spans="1:7" customFormat="1">
      <c r="A498" s="488"/>
      <c r="B498" s="488"/>
      <c r="C498" s="487"/>
      <c r="D498" s="1895"/>
      <c r="E498" s="1895"/>
      <c r="F498" s="1895"/>
      <c r="G498" s="149"/>
    </row>
    <row r="499" spans="1:7" customFormat="1">
      <c r="A499" s="488"/>
      <c r="B499" s="488"/>
      <c r="C499" s="487"/>
      <c r="D499" s="444"/>
      <c r="E499" s="149"/>
      <c r="F499" s="151"/>
      <c r="G499" s="149"/>
    </row>
    <row r="500" spans="1:7" customFormat="1" ht="13.2" customHeight="1">
      <c r="A500" s="488"/>
      <c r="B500" s="680" t="s">
        <v>318</v>
      </c>
      <c r="C500" s="487"/>
      <c r="D500" s="1908" t="s">
        <v>1352</v>
      </c>
      <c r="E500" s="1908"/>
      <c r="F500" s="1908"/>
      <c r="G500" s="149"/>
    </row>
    <row r="501" spans="1:7" customFormat="1">
      <c r="A501" s="488"/>
      <c r="B501" s="488"/>
      <c r="C501" s="487"/>
      <c r="D501" s="1908"/>
      <c r="E501" s="1908"/>
      <c r="F501" s="1908"/>
      <c r="G501" s="149"/>
    </row>
    <row r="502" spans="1:7" customFormat="1">
      <c r="A502" s="488"/>
      <c r="B502" s="488"/>
      <c r="C502" s="487"/>
      <c r="D502" s="1908"/>
      <c r="E502" s="1908"/>
      <c r="F502" s="1908"/>
      <c r="G502" s="149"/>
    </row>
    <row r="503" spans="1:7" customFormat="1">
      <c r="A503" s="488"/>
      <c r="B503" s="488"/>
      <c r="C503" s="487"/>
      <c r="D503" s="1908"/>
      <c r="E503" s="1908"/>
      <c r="F503" s="1908"/>
      <c r="G503" s="149"/>
    </row>
    <row r="504" spans="1:7" customFormat="1">
      <c r="A504" s="260"/>
      <c r="B504" s="260"/>
      <c r="C504" s="314"/>
      <c r="D504" s="1908"/>
      <c r="E504" s="1908"/>
      <c r="F504" s="1908"/>
      <c r="G504" s="149"/>
    </row>
    <row r="505" spans="1:7" s="718" customFormat="1">
      <c r="A505" s="721"/>
      <c r="B505" s="721"/>
      <c r="C505" s="314"/>
      <c r="D505" s="742"/>
      <c r="E505" s="742"/>
      <c r="F505" s="742"/>
      <c r="G505" s="149"/>
    </row>
    <row r="506" spans="1:7" customFormat="1" ht="14.4" customHeight="1">
      <c r="A506" s="261"/>
      <c r="B506" s="680" t="s">
        <v>318</v>
      </c>
      <c r="C506" s="10"/>
      <c r="D506" s="1895" t="s">
        <v>1210</v>
      </c>
      <c r="E506" s="1895"/>
      <c r="F506" s="1895"/>
      <c r="G506" s="149"/>
    </row>
    <row r="507" spans="1:7" customFormat="1">
      <c r="A507" s="132"/>
      <c r="B507" s="677"/>
      <c r="C507" s="10"/>
      <c r="D507" s="1895"/>
      <c r="E507" s="1895"/>
      <c r="F507" s="1895"/>
      <c r="G507" s="149"/>
    </row>
    <row r="508" spans="1:7" customFormat="1">
      <c r="A508" s="132"/>
      <c r="B508" s="677"/>
      <c r="C508" s="10"/>
      <c r="D508" s="1895"/>
      <c r="E508" s="1895"/>
      <c r="F508" s="1895"/>
      <c r="G508" s="149"/>
    </row>
    <row r="509" spans="1:7" customFormat="1" ht="12" customHeight="1">
      <c r="A509" s="135"/>
      <c r="B509" s="135"/>
      <c r="C509" s="316"/>
      <c r="D509" s="135"/>
      <c r="E509" s="149"/>
      <c r="F509" s="315"/>
      <c r="G509" s="149"/>
    </row>
    <row r="510" spans="1:7">
      <c r="A510" s="1874" t="s">
        <v>1173</v>
      </c>
      <c r="B510" s="1874"/>
      <c r="C510" s="1874"/>
      <c r="D510" s="1874"/>
      <c r="E510" s="1874"/>
      <c r="F510" s="1874"/>
      <c r="G510" s="1874"/>
    </row>
    <row r="511" spans="1:7">
      <c r="A511" s="135"/>
      <c r="B511" s="135"/>
      <c r="C511" s="266"/>
      <c r="F511" s="134"/>
    </row>
    <row r="512" spans="1:7">
      <c r="B512" s="1870" t="s">
        <v>471</v>
      </c>
      <c r="C512" s="1870"/>
      <c r="D512" s="1870"/>
      <c r="E512" s="1870"/>
      <c r="F512" s="1870"/>
    </row>
    <row r="513" spans="1:7">
      <c r="A513" s="135"/>
      <c r="B513" s="135"/>
      <c r="C513" s="266"/>
      <c r="D513" s="135"/>
      <c r="F513" s="135"/>
    </row>
    <row r="514" spans="1:7">
      <c r="A514" s="1875" t="s">
        <v>1174</v>
      </c>
      <c r="B514" s="1875"/>
      <c r="C514" s="1875"/>
      <c r="D514" s="1875"/>
      <c r="E514" s="1875"/>
      <c r="F514" s="1875"/>
      <c r="G514" s="1875"/>
    </row>
    <row r="515" spans="1:7">
      <c r="A515" s="135"/>
      <c r="B515" s="135"/>
      <c r="C515" s="266"/>
      <c r="D515" s="135"/>
      <c r="F515" s="135"/>
    </row>
    <row r="516" spans="1:7">
      <c r="C516" s="266"/>
      <c r="D516" s="1872" t="s">
        <v>721</v>
      </c>
      <c r="E516" s="1872"/>
      <c r="F516" s="1872"/>
    </row>
    <row r="517" spans="1:7" s="683" customFormat="1">
      <c r="A517" s="700"/>
      <c r="B517" s="700"/>
      <c r="C517" s="266"/>
      <c r="D517" s="1873" t="s">
        <v>1231</v>
      </c>
      <c r="E517" s="1873"/>
      <c r="F517" s="1873"/>
      <c r="G517" s="7"/>
    </row>
    <row r="518" spans="1:7" s="683" customFormat="1">
      <c r="A518" s="700"/>
      <c r="B518" s="700"/>
      <c r="C518" s="266"/>
      <c r="D518" s="705"/>
      <c r="E518" s="705"/>
      <c r="F518" s="705"/>
      <c r="G518" s="7"/>
    </row>
    <row r="519" spans="1:7" ht="13.2" customHeight="1">
      <c r="A519" s="261"/>
      <c r="B519" s="680" t="s">
        <v>318</v>
      </c>
      <c r="C519" s="266"/>
      <c r="D519" s="1873" t="s">
        <v>952</v>
      </c>
      <c r="E519" s="1873"/>
      <c r="F519" s="1873"/>
      <c r="G519" s="12"/>
    </row>
    <row r="520" spans="1:7" ht="13.2" customHeight="1">
      <c r="A520" s="266"/>
      <c r="B520" s="266"/>
      <c r="C520" s="266"/>
      <c r="D520" s="705"/>
      <c r="E520" s="678"/>
      <c r="F520" s="678"/>
      <c r="G520" s="12"/>
    </row>
    <row r="521" spans="1:7" ht="14.4">
      <c r="A521" s="261"/>
      <c r="B521" s="680" t="s">
        <v>318</v>
      </c>
      <c r="C521" s="266"/>
      <c r="D521" s="1848" t="s">
        <v>1232</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4.4">
      <c r="A524" s="261"/>
      <c r="B524" s="680" t="s">
        <v>318</v>
      </c>
      <c r="C524" s="266"/>
      <c r="D524" s="1848" t="s">
        <v>1233</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4.4">
      <c r="A527" s="261"/>
      <c r="B527" s="680" t="s">
        <v>318</v>
      </c>
      <c r="C527" s="266"/>
      <c r="D527" s="1848" t="s">
        <v>1234</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4.4">
      <c r="A530" s="261"/>
      <c r="B530" s="680" t="s">
        <v>318</v>
      </c>
      <c r="C530" s="266"/>
      <c r="D530" s="1848" t="s">
        <v>1235</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4.4">
      <c r="A534" s="261"/>
      <c r="B534" s="680" t="s">
        <v>318</v>
      </c>
      <c r="C534" s="266"/>
      <c r="D534" s="1871" t="s">
        <v>1353</v>
      </c>
      <c r="E534" s="1871"/>
      <c r="F534" s="1871"/>
    </row>
    <row r="535" spans="1:7">
      <c r="A535" s="266"/>
      <c r="B535" s="266"/>
      <c r="C535" s="266"/>
      <c r="D535" s="1871"/>
      <c r="E535" s="1871"/>
      <c r="F535" s="1871"/>
    </row>
    <row r="536" spans="1:7">
      <c r="A536" s="266"/>
      <c r="B536" s="266"/>
      <c r="C536" s="266"/>
      <c r="D536" s="135"/>
      <c r="E536" s="135"/>
      <c r="F536" s="135"/>
    </row>
    <row r="537" spans="1:7" ht="14.4">
      <c r="A537" s="261"/>
      <c r="B537" s="680" t="s">
        <v>318</v>
      </c>
      <c r="C537" s="266"/>
      <c r="D537" s="1871" t="s">
        <v>1236</v>
      </c>
      <c r="E537" s="1871"/>
      <c r="F537" s="1871"/>
    </row>
    <row r="538" spans="1:7">
      <c r="A538" s="266"/>
      <c r="B538" s="266"/>
      <c r="C538" s="266"/>
      <c r="D538" s="1871"/>
      <c r="E538" s="1871"/>
      <c r="F538" s="1871"/>
    </row>
    <row r="539" spans="1:7">
      <c r="A539" s="266"/>
      <c r="B539" s="266"/>
      <c r="C539" s="266"/>
      <c r="D539" s="135"/>
      <c r="E539" s="135"/>
      <c r="F539" s="135"/>
    </row>
    <row r="540" spans="1:7" ht="14.4">
      <c r="A540" s="261"/>
      <c r="B540" s="680" t="s">
        <v>318</v>
      </c>
      <c r="C540" s="266"/>
      <c r="D540" s="1848" t="s">
        <v>1237</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4.4">
      <c r="A543" s="261"/>
      <c r="B543" s="680" t="s">
        <v>318</v>
      </c>
      <c r="C543" s="266"/>
      <c r="D543" s="1873" t="s">
        <v>1238</v>
      </c>
      <c r="E543" s="1873"/>
      <c r="F543" s="1873"/>
      <c r="G543" s="57"/>
    </row>
    <row r="544" spans="1:7">
      <c r="A544" s="23"/>
      <c r="B544" s="676"/>
      <c r="C544" s="266"/>
      <c r="D544" s="1873" t="s">
        <v>884</v>
      </c>
      <c r="E544" s="1873"/>
      <c r="F544" s="1873"/>
      <c r="G544" s="57"/>
    </row>
    <row r="545" spans="1:7">
      <c r="A545" s="23"/>
      <c r="B545" s="676"/>
      <c r="C545" s="266"/>
      <c r="D545" s="6"/>
      <c r="E545" s="1878" t="s">
        <v>1239</v>
      </c>
      <c r="F545" s="1878"/>
      <c r="G545" s="57"/>
    </row>
    <row r="546" spans="1:7" ht="14.4">
      <c r="A546" s="261"/>
      <c r="B546" s="261"/>
      <c r="C546" s="266"/>
      <c r="E546" s="135"/>
      <c r="F546" s="135"/>
      <c r="G546" s="57"/>
    </row>
    <row r="547" spans="1:7" ht="14.4">
      <c r="A547" s="261"/>
      <c r="B547" s="680" t="s">
        <v>318</v>
      </c>
      <c r="C547" s="266"/>
      <c r="D547" s="1879" t="s">
        <v>1240</v>
      </c>
      <c r="E547" s="1879"/>
      <c r="F547" s="1879"/>
      <c r="G547" s="57"/>
    </row>
    <row r="548" spans="1:7">
      <c r="C548" s="266"/>
      <c r="D548" s="1848" t="s">
        <v>1241</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4.4">
      <c r="A552" s="261"/>
      <c r="B552" s="680" t="s">
        <v>318</v>
      </c>
      <c r="C552" s="266"/>
      <c r="D552" s="1848" t="s">
        <v>1242</v>
      </c>
      <c r="E552" s="1848"/>
      <c r="F552" s="1848"/>
      <c r="G552" s="57"/>
    </row>
    <row r="553" spans="1:7" ht="14.4">
      <c r="A553" s="261"/>
      <c r="B553" s="261"/>
      <c r="C553" s="266"/>
      <c r="D553" s="1848"/>
      <c r="E553" s="1848"/>
      <c r="F553" s="1848"/>
      <c r="G553" s="57"/>
    </row>
    <row r="554" spans="1:7" ht="14.4">
      <c r="A554" s="261"/>
      <c r="B554" s="261"/>
      <c r="C554" s="266"/>
      <c r="D554" s="1848"/>
      <c r="E554" s="1848"/>
      <c r="F554" s="1848"/>
      <c r="G554" s="57"/>
    </row>
    <row r="555" spans="1:7" ht="14.4">
      <c r="A555" s="261"/>
      <c r="B555" s="261"/>
      <c r="C555" s="266"/>
      <c r="D555" s="1848"/>
      <c r="E555" s="1848"/>
      <c r="F555" s="1848"/>
      <c r="G555" s="57"/>
    </row>
    <row r="556" spans="1:7" ht="14.4">
      <c r="A556" s="261"/>
      <c r="B556" s="261"/>
      <c r="C556" s="266"/>
      <c r="D556" s="135"/>
      <c r="E556" s="135"/>
      <c r="F556" s="135"/>
      <c r="G556" s="57"/>
    </row>
    <row r="557" spans="1:7">
      <c r="A557" s="1874" t="s">
        <v>1175</v>
      </c>
      <c r="B557" s="1874"/>
      <c r="C557" s="1874"/>
      <c r="D557" s="1874"/>
      <c r="E557" s="1874"/>
      <c r="F557" s="1874"/>
      <c r="G557" s="1874"/>
    </row>
    <row r="558" spans="1:7">
      <c r="A558" s="266"/>
      <c r="B558" s="266"/>
      <c r="C558" s="266"/>
      <c r="E558" s="135"/>
      <c r="F558" s="135"/>
      <c r="G558" s="57"/>
    </row>
    <row r="559" spans="1:7" ht="12.75" customHeight="1">
      <c r="C559" s="255"/>
      <c r="D559" s="1890" t="s">
        <v>217</v>
      </c>
      <c r="E559" s="1890"/>
      <c r="F559" s="1890"/>
      <c r="G559" s="57"/>
    </row>
    <row r="560" spans="1:7">
      <c r="A560" s="260"/>
      <c r="B560" s="260"/>
      <c r="C560" s="260"/>
      <c r="D560" s="1896" t="s">
        <v>1191</v>
      </c>
      <c r="E560" s="1896"/>
      <c r="F560" s="1896"/>
      <c r="G560" s="57"/>
    </row>
    <row r="561" spans="1:7">
      <c r="A561" s="12"/>
      <c r="B561" s="12"/>
      <c r="C561" s="260"/>
      <c r="D561" s="378"/>
      <c r="G561" s="57"/>
    </row>
    <row r="562" spans="1:7">
      <c r="A562" s="260"/>
      <c r="B562" s="680" t="s">
        <v>318</v>
      </c>
      <c r="D562" s="1896" t="s">
        <v>958</v>
      </c>
      <c r="E562" s="1896"/>
      <c r="F562" s="1896"/>
      <c r="G562" s="57"/>
    </row>
    <row r="563" spans="1:7">
      <c r="A563" s="23"/>
      <c r="B563" s="676"/>
      <c r="D563" s="326"/>
    </row>
    <row r="564" spans="1:7">
      <c r="A564" s="23"/>
      <c r="B564" s="680" t="s">
        <v>318</v>
      </c>
      <c r="D564" s="1897" t="s">
        <v>1192</v>
      </c>
      <c r="E564" s="1897"/>
      <c r="F564" s="1897"/>
    </row>
    <row r="565" spans="1:7">
      <c r="A565" s="23"/>
      <c r="B565" s="676"/>
      <c r="D565" s="1897"/>
      <c r="E565" s="1897"/>
      <c r="F565" s="1897"/>
    </row>
    <row r="566" spans="1:7">
      <c r="A566" s="23"/>
      <c r="B566" s="689"/>
      <c r="D566" s="1897"/>
      <c r="E566" s="1897"/>
      <c r="F566" s="1897"/>
    </row>
    <row r="567" spans="1:7">
      <c r="A567" s="23"/>
      <c r="B567" s="676"/>
      <c r="D567" s="479"/>
    </row>
    <row r="568" spans="1:7" s="683" customFormat="1">
      <c r="A568" s="689"/>
      <c r="B568" s="680" t="s">
        <v>318</v>
      </c>
      <c r="C568" s="690"/>
      <c r="D568" s="1897" t="s">
        <v>1193</v>
      </c>
      <c r="E568" s="1897"/>
      <c r="F568" s="1897"/>
      <c r="G568" s="7"/>
    </row>
    <row r="569" spans="1:7" s="683" customFormat="1">
      <c r="A569" s="689"/>
      <c r="B569" s="689"/>
      <c r="C569" s="690"/>
      <c r="D569" s="1897"/>
      <c r="E569" s="1897"/>
      <c r="F569" s="1897"/>
      <c r="G569" s="7"/>
    </row>
    <row r="570" spans="1:7" s="683" customFormat="1">
      <c r="A570" s="689"/>
      <c r="B570" s="689"/>
      <c r="C570" s="690"/>
      <c r="D570" s="1897"/>
      <c r="E570" s="1897"/>
      <c r="F570" s="1897"/>
      <c r="G570" s="7"/>
    </row>
    <row r="571" spans="1:7" s="683" customFormat="1">
      <c r="A571" s="689"/>
      <c r="B571" s="689"/>
      <c r="C571" s="690"/>
      <c r="D571" s="1897"/>
      <c r="E571" s="1897"/>
      <c r="F571" s="1897"/>
      <c r="G571" s="7"/>
    </row>
    <row r="572" spans="1:7" s="683" customFormat="1">
      <c r="A572" s="689"/>
      <c r="B572" s="689"/>
      <c r="C572" s="690"/>
      <c r="D572" s="695"/>
      <c r="E572" s="695"/>
      <c r="F572" s="695"/>
      <c r="G572" s="7"/>
    </row>
    <row r="573" spans="1:7">
      <c r="A573" s="23"/>
      <c r="B573" s="680" t="s">
        <v>318</v>
      </c>
      <c r="D573" s="1897" t="s">
        <v>1194</v>
      </c>
      <c r="E573" s="1897"/>
      <c r="F573" s="1897"/>
    </row>
    <row r="574" spans="1:7">
      <c r="A574" s="23"/>
      <c r="B574" s="676"/>
      <c r="D574" s="1897"/>
      <c r="E574" s="1897"/>
      <c r="F574" s="1897"/>
    </row>
    <row r="575" spans="1:7">
      <c r="A575" s="23"/>
      <c r="B575" s="676"/>
      <c r="D575" s="378"/>
    </row>
    <row r="576" spans="1:7" s="683" customFormat="1">
      <c r="A576" s="689"/>
      <c r="B576" s="680" t="s">
        <v>318</v>
      </c>
      <c r="C576" s="690"/>
      <c r="D576" s="1896" t="s">
        <v>1195</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4">
      <c r="A579" s="261"/>
      <c r="B579" s="680" t="s">
        <v>318</v>
      </c>
      <c r="D579" s="1896" t="s">
        <v>953</v>
      </c>
      <c r="E579" s="1896"/>
      <c r="F579" s="1896"/>
    </row>
    <row r="580" spans="1:7" ht="14.4">
      <c r="A580" s="261"/>
      <c r="B580" s="261"/>
      <c r="D580" s="378"/>
    </row>
    <row r="581" spans="1:7" ht="14.4">
      <c r="A581" s="261"/>
      <c r="B581" s="680" t="s">
        <v>318</v>
      </c>
      <c r="D581" s="1896" t="s">
        <v>1196</v>
      </c>
      <c r="E581" s="1896"/>
      <c r="F581" s="1896"/>
    </row>
    <row r="582" spans="1:7" ht="14.4">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4" t="s">
        <v>1176</v>
      </c>
      <c r="B588" s="1874"/>
      <c r="C588" s="1874"/>
      <c r="D588" s="1874"/>
      <c r="E588" s="1874"/>
      <c r="F588" s="1874"/>
      <c r="G588" s="1874"/>
    </row>
    <row r="589" spans="1:7"/>
    <row r="590" spans="1:7">
      <c r="D590" s="1864" t="s">
        <v>1276</v>
      </c>
      <c r="E590" s="1864"/>
      <c r="F590" s="1864"/>
    </row>
    <row r="591" spans="1:7">
      <c r="D591" s="1865" t="s">
        <v>1277</v>
      </c>
      <c r="E591" s="1865"/>
      <c r="F591" s="1865"/>
    </row>
    <row r="592" spans="1:7" s="720" customFormat="1">
      <c r="A592" s="706"/>
      <c r="B592" s="706"/>
      <c r="C592" s="706"/>
      <c r="D592" s="724"/>
      <c r="E592" s="723"/>
      <c r="F592" s="723"/>
      <c r="G592" s="7"/>
    </row>
    <row r="593" spans="1:7" s="39" customFormat="1" ht="14.4">
      <c r="A593" s="404"/>
      <c r="B593" s="680" t="s">
        <v>318</v>
      </c>
      <c r="C593" s="273"/>
      <c r="D593" s="1866" t="s">
        <v>1278</v>
      </c>
      <c r="E593" s="1866"/>
      <c r="F593" s="1866"/>
      <c r="G593" s="130"/>
    </row>
    <row r="594" spans="1:7">
      <c r="D594" s="1866"/>
      <c r="E594" s="1866"/>
      <c r="F594" s="1866"/>
    </row>
    <row r="595" spans="1:7">
      <c r="D595" s="1866"/>
      <c r="E595" s="1866"/>
      <c r="F595" s="1866"/>
    </row>
    <row r="596" spans="1:7"/>
    <row r="597" spans="1:7">
      <c r="A597" s="1874" t="s">
        <v>1177</v>
      </c>
      <c r="B597" s="1874"/>
      <c r="C597" s="1874"/>
      <c r="D597" s="1874"/>
      <c r="E597" s="1874"/>
      <c r="F597" s="1874"/>
      <c r="G597" s="1874"/>
    </row>
    <row r="598" spans="1:7">
      <c r="A598" s="135"/>
      <c r="B598" s="135"/>
      <c r="G598" s="57"/>
    </row>
    <row r="599" spans="1:7">
      <c r="A599" s="257"/>
      <c r="B599" s="675"/>
      <c r="C599" s="255"/>
      <c r="D599" s="1867" t="s">
        <v>1279</v>
      </c>
      <c r="E599" s="1867"/>
      <c r="F599" s="1867"/>
      <c r="G599" s="57"/>
    </row>
    <row r="600" spans="1:7">
      <c r="A600" s="257"/>
      <c r="B600" s="675"/>
      <c r="C600" s="255"/>
      <c r="D600" s="1867"/>
      <c r="E600" s="1867"/>
      <c r="F600" s="1867"/>
      <c r="G600" s="57"/>
    </row>
    <row r="601" spans="1:7">
      <c r="C601" s="260"/>
      <c r="D601" s="1865" t="s">
        <v>1280</v>
      </c>
      <c r="E601" s="1865"/>
      <c r="F601" s="1865"/>
      <c r="G601" s="57"/>
    </row>
    <row r="602" spans="1:7" s="720" customFormat="1">
      <c r="A602" s="706"/>
      <c r="B602" s="706"/>
      <c r="C602" s="721"/>
      <c r="D602" s="725"/>
      <c r="E602" s="725"/>
      <c r="F602" s="725"/>
      <c r="G602" s="57"/>
    </row>
    <row r="603" spans="1:7">
      <c r="A603" s="23"/>
      <c r="B603" s="680" t="s">
        <v>318</v>
      </c>
      <c r="D603" s="1865" t="s">
        <v>455</v>
      </c>
      <c r="E603" s="1865"/>
      <c r="F603" s="1865"/>
      <c r="G603" s="57"/>
    </row>
    <row r="604" spans="1:7">
      <c r="C604" s="268"/>
      <c r="E604" s="12"/>
      <c r="G604" s="57"/>
    </row>
    <row r="605" spans="1:7">
      <c r="A605" s="23"/>
      <c r="B605" s="680" t="s">
        <v>318</v>
      </c>
      <c r="D605" s="1868" t="s">
        <v>1281</v>
      </c>
      <c r="E605" s="1868"/>
      <c r="F605" s="1868"/>
      <c r="G605" s="57"/>
    </row>
    <row r="606" spans="1:7">
      <c r="D606" s="1868"/>
      <c r="E606" s="1868"/>
      <c r="F606" s="1868"/>
      <c r="G606" s="57"/>
    </row>
    <row r="607" spans="1:7">
      <c r="D607" s="12"/>
      <c r="G607" s="57"/>
    </row>
    <row r="608" spans="1:7">
      <c r="B608" s="680" t="s">
        <v>318</v>
      </c>
      <c r="D608" s="1868" t="s">
        <v>1282</v>
      </c>
      <c r="E608" s="1868"/>
      <c r="F608" s="1868"/>
      <c r="G608" s="57"/>
    </row>
    <row r="609" spans="1:7">
      <c r="C609" s="268"/>
      <c r="D609" s="1868"/>
      <c r="E609" s="1868"/>
      <c r="F609" s="1868"/>
      <c r="G609" s="57"/>
    </row>
    <row r="610" spans="1:7">
      <c r="C610" s="268"/>
      <c r="G610" s="57"/>
    </row>
    <row r="611" spans="1:7">
      <c r="B611" s="680" t="s">
        <v>318</v>
      </c>
      <c r="C611" s="268"/>
      <c r="D611" s="1868" t="s">
        <v>1283</v>
      </c>
      <c r="E611" s="1868"/>
      <c r="F611" s="1868"/>
      <c r="G611" s="57"/>
    </row>
    <row r="612" spans="1:7">
      <c r="C612" s="268"/>
      <c r="D612" s="1868"/>
      <c r="E612" s="1868"/>
      <c r="F612" s="1868"/>
      <c r="G612" s="57"/>
    </row>
    <row r="613" spans="1:7">
      <c r="C613" s="268"/>
      <c r="G613" s="57"/>
    </row>
    <row r="614" spans="1:7">
      <c r="A614" s="1874" t="s">
        <v>1178</v>
      </c>
      <c r="B614" s="1874"/>
      <c r="C614" s="1874"/>
      <c r="D614" s="1874"/>
      <c r="E614" s="1874"/>
      <c r="F614" s="1874"/>
      <c r="G614" s="1874"/>
    </row>
    <row r="615" spans="1:7">
      <c r="A615" s="267"/>
      <c r="B615" s="267"/>
      <c r="C615" s="267"/>
      <c r="G615" s="57"/>
    </row>
    <row r="616" spans="1:7">
      <c r="C616" s="23"/>
      <c r="D616" s="1864" t="s">
        <v>1284</v>
      </c>
      <c r="E616" s="1864"/>
      <c r="F616" s="1864"/>
      <c r="G616" s="57"/>
    </row>
    <row r="617" spans="1:7">
      <c r="A617" s="23"/>
      <c r="B617" s="676"/>
      <c r="C617" s="265"/>
      <c r="D617" s="50"/>
      <c r="G617" s="57"/>
    </row>
    <row r="618" spans="1:7" ht="14.4">
      <c r="A618" s="261"/>
      <c r="B618" s="680" t="s">
        <v>318</v>
      </c>
      <c r="C618" s="265"/>
      <c r="D618" s="1909" t="s">
        <v>1285</v>
      </c>
      <c r="E618" s="1909"/>
      <c r="F618" s="1909"/>
      <c r="G618" s="57"/>
    </row>
    <row r="619" spans="1:7">
      <c r="C619" s="265"/>
      <c r="D619" s="1909"/>
      <c r="E619" s="1909"/>
      <c r="F619" s="1909"/>
      <c r="G619" s="57"/>
    </row>
    <row r="620" spans="1:7">
      <c r="C620" s="265"/>
      <c r="D620" s="1909"/>
      <c r="E620" s="1909"/>
      <c r="F620" s="1909"/>
      <c r="G620" s="57"/>
    </row>
    <row r="621" spans="1:7">
      <c r="C621" s="265"/>
      <c r="D621" s="1909"/>
      <c r="E621" s="1909"/>
      <c r="F621" s="1909"/>
      <c r="G621" s="57"/>
    </row>
    <row r="622" spans="1:7">
      <c r="C622" s="265"/>
      <c r="D622" s="1909"/>
      <c r="E622" s="1909"/>
      <c r="F622" s="1909"/>
      <c r="G622" s="57"/>
    </row>
    <row r="623" spans="1:7">
      <c r="C623" s="265"/>
      <c r="D623" s="1909"/>
      <c r="E623" s="1909"/>
      <c r="F623" s="1909"/>
      <c r="G623" s="57"/>
    </row>
    <row r="624" spans="1:7" s="720" customFormat="1">
      <c r="A624" s="706"/>
      <c r="B624" s="706"/>
      <c r="C624" s="265"/>
      <c r="D624" s="726"/>
      <c r="E624" s="726"/>
      <c r="F624" s="726"/>
      <c r="G624" s="57"/>
    </row>
    <row r="625" spans="1:7" ht="14.4">
      <c r="A625" s="261"/>
      <c r="B625" s="680" t="s">
        <v>318</v>
      </c>
      <c r="C625" s="265"/>
      <c r="D625" s="1909" t="s">
        <v>1286</v>
      </c>
      <c r="E625" s="1909"/>
      <c r="F625" s="1909"/>
      <c r="G625" s="57"/>
    </row>
    <row r="626" spans="1:7">
      <c r="A626" s="266"/>
      <c r="B626" s="266"/>
      <c r="C626" s="266"/>
      <c r="D626" s="1909"/>
      <c r="E626" s="1909"/>
      <c r="F626" s="1909"/>
      <c r="G626" s="57"/>
    </row>
    <row r="627" spans="1:7">
      <c r="A627" s="266"/>
      <c r="B627" s="266"/>
      <c r="C627" s="266"/>
      <c r="D627" s="151"/>
      <c r="E627" s="147"/>
      <c r="F627" s="147"/>
      <c r="G627" s="57"/>
    </row>
    <row r="628" spans="1:7" ht="14.4">
      <c r="A628" s="261"/>
      <c r="B628" s="680" t="s">
        <v>318</v>
      </c>
      <c r="C628" s="266"/>
      <c r="D628" s="1866" t="s">
        <v>1287</v>
      </c>
      <c r="E628" s="1866"/>
      <c r="F628" s="1866"/>
      <c r="G628" s="57"/>
    </row>
    <row r="629" spans="1:7" ht="14.4">
      <c r="A629" s="261"/>
      <c r="B629" s="261"/>
      <c r="C629" s="266"/>
      <c r="D629" s="1866"/>
      <c r="E629" s="1866"/>
      <c r="F629" s="1866"/>
      <c r="G629" s="57"/>
    </row>
    <row r="630" spans="1:7" ht="14.4">
      <c r="A630" s="261"/>
      <c r="B630" s="261"/>
      <c r="C630" s="266"/>
      <c r="D630" s="1866"/>
      <c r="E630" s="1866"/>
      <c r="F630" s="1866"/>
      <c r="G630" s="57"/>
    </row>
    <row r="631" spans="1:7">
      <c r="A631" s="266"/>
      <c r="B631" s="266"/>
      <c r="C631" s="266"/>
      <c r="D631" s="1866"/>
      <c r="E631" s="1866"/>
      <c r="F631" s="1866"/>
      <c r="G631" s="57"/>
    </row>
    <row r="632" spans="1:7" s="720" customFormat="1">
      <c r="A632" s="266"/>
      <c r="B632" s="266"/>
      <c r="C632" s="266"/>
      <c r="D632" s="727"/>
      <c r="E632" s="727"/>
      <c r="F632" s="727"/>
      <c r="G632" s="57"/>
    </row>
    <row r="633" spans="1:7">
      <c r="A633" s="266"/>
      <c r="B633" s="680" t="s">
        <v>318</v>
      </c>
      <c r="C633" s="266"/>
      <c r="D633" s="1914" t="s">
        <v>1288</v>
      </c>
      <c r="E633" s="1914"/>
      <c r="F633" s="1914"/>
      <c r="G633" s="57"/>
    </row>
    <row r="634" spans="1:7">
      <c r="A634" s="266"/>
      <c r="B634" s="266"/>
      <c r="C634" s="266"/>
      <c r="D634" s="728"/>
      <c r="E634" s="728"/>
      <c r="F634" s="728"/>
      <c r="G634" s="57"/>
    </row>
    <row r="635" spans="1:7">
      <c r="A635" s="1874" t="s">
        <v>1179</v>
      </c>
      <c r="B635" s="1874"/>
      <c r="C635" s="1874"/>
      <c r="D635" s="1874"/>
      <c r="E635" s="1874"/>
      <c r="F635" s="1874"/>
      <c r="G635" s="1874"/>
    </row>
    <row r="636" spans="1:7">
      <c r="A636" s="135"/>
      <c r="B636" s="135"/>
      <c r="C636" s="266"/>
      <c r="D636" s="147"/>
      <c r="E636" s="147"/>
      <c r="F636" s="147"/>
      <c r="G636" s="57"/>
    </row>
    <row r="637" spans="1:7">
      <c r="C637" s="267"/>
      <c r="D637" s="1915" t="s">
        <v>1338</v>
      </c>
      <c r="E637" s="1915"/>
      <c r="F637" s="1915"/>
      <c r="G637" s="57"/>
    </row>
    <row r="638" spans="1:7">
      <c r="A638" s="260"/>
      <c r="B638" s="260"/>
      <c r="C638" s="260"/>
      <c r="D638" s="1916" t="s">
        <v>1339</v>
      </c>
      <c r="E638" s="1916"/>
      <c r="F638" s="1916"/>
      <c r="G638" s="57"/>
    </row>
    <row r="639" spans="1:7" s="720" customFormat="1">
      <c r="A639" s="721"/>
      <c r="B639" s="721"/>
      <c r="C639" s="721"/>
      <c r="D639" s="735"/>
      <c r="E639" s="735"/>
      <c r="F639" s="735"/>
      <c r="G639" s="57"/>
    </row>
    <row r="640" spans="1:7" ht="14.4" customHeight="1">
      <c r="A640" s="261"/>
      <c r="B640" s="680" t="s">
        <v>318</v>
      </c>
      <c r="C640" s="266"/>
      <c r="D640" s="1862" t="s">
        <v>1340</v>
      </c>
      <c r="E640" s="1862"/>
      <c r="F640" s="1862"/>
      <c r="G640" s="57"/>
    </row>
    <row r="641" spans="1:11" ht="14.4">
      <c r="A641" s="261"/>
      <c r="B641" s="261"/>
      <c r="C641" s="266"/>
      <c r="D641" s="1862"/>
      <c r="E641" s="1862"/>
      <c r="F641" s="1862"/>
      <c r="G641" s="57"/>
    </row>
    <row r="642" spans="1:11" ht="14.4">
      <c r="A642" s="261"/>
      <c r="B642" s="261"/>
      <c r="C642" s="266"/>
      <c r="D642" s="1862"/>
      <c r="E642" s="1862"/>
      <c r="F642" s="1862"/>
      <c r="G642" s="57"/>
    </row>
    <row r="643" spans="1:11" ht="14.4">
      <c r="A643" s="261"/>
      <c r="B643" s="261"/>
      <c r="C643" s="266"/>
      <c r="D643" s="1862"/>
      <c r="E643" s="1862"/>
      <c r="F643" s="1862"/>
      <c r="G643" s="57"/>
    </row>
    <row r="644" spans="1:11" s="683" customFormat="1" ht="14.4">
      <c r="A644" s="261"/>
      <c r="B644" s="261"/>
      <c r="C644" s="266"/>
      <c r="D644" s="1862"/>
      <c r="E644" s="1862"/>
      <c r="F644" s="1862"/>
      <c r="G644" s="57"/>
    </row>
    <row r="645" spans="1:11" s="720" customFormat="1" ht="14.4">
      <c r="A645" s="715"/>
      <c r="B645" s="715"/>
      <c r="C645" s="266"/>
      <c r="D645" s="737"/>
      <c r="E645" s="737"/>
      <c r="F645" s="737"/>
      <c r="G645" s="57"/>
    </row>
    <row r="646" spans="1:11" s="683" customFormat="1" ht="14.4">
      <c r="A646" s="261"/>
      <c r="B646" s="680" t="s">
        <v>318</v>
      </c>
      <c r="C646" s="266"/>
      <c r="D646" s="1892" t="s">
        <v>1190</v>
      </c>
      <c r="E646" s="1892"/>
      <c r="F646" s="1892"/>
      <c r="G646" s="57"/>
    </row>
    <row r="647" spans="1:11" s="683" customFormat="1" ht="14.4">
      <c r="A647" s="261"/>
      <c r="B647" s="261"/>
      <c r="C647" s="266"/>
      <c r="D647" s="1893" t="s">
        <v>1341</v>
      </c>
      <c r="E647" s="1893"/>
      <c r="F647" s="1893"/>
      <c r="G647" s="57"/>
    </row>
    <row r="648" spans="1:11" s="683" customFormat="1" ht="14.4">
      <c r="A648" s="261"/>
      <c r="B648" s="261"/>
      <c r="C648" s="266"/>
      <c r="D648" s="1893"/>
      <c r="E648" s="1893"/>
      <c r="F648" s="1893"/>
      <c r="G648" s="57"/>
    </row>
    <row r="649" spans="1:11" s="683" customFormat="1" ht="14.4">
      <c r="A649" s="261"/>
      <c r="B649" s="261"/>
      <c r="C649" s="266"/>
      <c r="D649" s="1893"/>
      <c r="E649" s="1893"/>
      <c r="F649" s="1893"/>
      <c r="G649" s="57"/>
    </row>
    <row r="650" spans="1:11" s="683" customFormat="1" ht="14.4">
      <c r="A650" s="261"/>
      <c r="B650" s="261"/>
      <c r="C650" s="266"/>
      <c r="D650" s="1893"/>
      <c r="E650" s="1893"/>
      <c r="F650" s="1893"/>
      <c r="G650" s="57"/>
    </row>
    <row r="651" spans="1:11" s="683" customFormat="1" ht="14.4">
      <c r="A651" s="261"/>
      <c r="B651" s="261"/>
      <c r="C651" s="266"/>
      <c r="D651" s="1893"/>
      <c r="E651" s="1893"/>
      <c r="F651" s="1893"/>
      <c r="G651" s="57"/>
    </row>
    <row r="652" spans="1:11" s="683" customFormat="1" ht="14.4">
      <c r="A652" s="261"/>
      <c r="B652" s="261"/>
      <c r="C652" s="266"/>
      <c r="D652" s="1894" t="s">
        <v>1342</v>
      </c>
      <c r="E652" s="1894"/>
      <c r="F652" s="1894"/>
      <c r="G652" s="57"/>
    </row>
    <row r="653" spans="1:11">
      <c r="A653" s="266"/>
      <c r="B653" s="266"/>
      <c r="C653" s="266"/>
      <c r="D653" s="147"/>
      <c r="E653" s="147"/>
      <c r="F653" s="147"/>
      <c r="G653" s="57"/>
    </row>
    <row r="654" spans="1:11">
      <c r="A654" s="1874" t="s">
        <v>1180</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73" t="s">
        <v>1216</v>
      </c>
      <c r="E658" s="1873"/>
      <c r="F658" s="1873"/>
      <c r="G658" s="57"/>
      <c r="H658" s="269"/>
      <c r="I658" s="269"/>
      <c r="J658" s="269"/>
      <c r="K658" s="269"/>
    </row>
    <row r="659" spans="1:11">
      <c r="A659" s="260"/>
      <c r="B659" s="260"/>
      <c r="C659" s="260"/>
      <c r="G659" s="57"/>
      <c r="H659" s="269"/>
      <c r="I659" s="269"/>
      <c r="J659" s="269"/>
      <c r="K659" s="269"/>
    </row>
    <row r="660" spans="1:11" ht="14.4">
      <c r="A660" s="261"/>
      <c r="B660" s="680" t="s">
        <v>318</v>
      </c>
      <c r="C660" s="260"/>
      <c r="D660" s="1873" t="s">
        <v>954</v>
      </c>
      <c r="E660" s="1873"/>
      <c r="F660" s="1873"/>
      <c r="G660" s="57"/>
      <c r="H660" s="269"/>
      <c r="I660" s="269"/>
      <c r="J660" s="269"/>
      <c r="K660" s="269"/>
    </row>
    <row r="661" spans="1:11">
      <c r="A661" s="260"/>
      <c r="B661" s="260"/>
      <c r="C661" s="260"/>
      <c r="D661" s="1873" t="s">
        <v>965</v>
      </c>
      <c r="E661" s="1873"/>
      <c r="F661" s="1873"/>
      <c r="G661" s="57"/>
      <c r="H661" s="269"/>
      <c r="I661" s="269"/>
      <c r="J661" s="269"/>
      <c r="K661" s="269"/>
    </row>
    <row r="662" spans="1:11">
      <c r="A662" s="260"/>
      <c r="B662" s="260"/>
      <c r="C662" s="260"/>
      <c r="D662" s="6"/>
      <c r="E662" s="1852" t="s">
        <v>1217</v>
      </c>
      <c r="F662" s="1852"/>
      <c r="G662" s="57"/>
      <c r="H662" s="269"/>
      <c r="I662" s="269"/>
      <c r="J662" s="269"/>
      <c r="K662" s="269"/>
    </row>
    <row r="663" spans="1:11">
      <c r="A663" s="260"/>
      <c r="B663" s="260"/>
      <c r="C663" s="260"/>
      <c r="D663" s="6"/>
      <c r="E663" s="1852"/>
      <c r="F663" s="1852"/>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48" t="s">
        <v>1218</v>
      </c>
      <c r="E665" s="1848"/>
      <c r="F665" s="1848"/>
      <c r="G665" s="57"/>
      <c r="H665" s="269"/>
      <c r="I665" s="269"/>
      <c r="J665" s="269"/>
      <c r="K665" s="269"/>
    </row>
    <row r="666" spans="1:11">
      <c r="A666" s="23"/>
      <c r="B666" s="676"/>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ht="14.4">
      <c r="A669" s="261"/>
      <c r="B669" s="680" t="s">
        <v>318</v>
      </c>
      <c r="C669" s="260"/>
      <c r="D669" s="1873" t="s">
        <v>994</v>
      </c>
      <c r="E669" s="1873"/>
      <c r="F669" s="1873"/>
      <c r="G669" s="57"/>
      <c r="H669" s="269"/>
      <c r="I669" s="269"/>
      <c r="J669" s="269"/>
      <c r="K669" s="269"/>
    </row>
    <row r="670" spans="1:11" ht="14.4">
      <c r="A670" s="261"/>
      <c r="B670" s="261"/>
      <c r="C670" s="260"/>
      <c r="D670" s="1873" t="s">
        <v>965</v>
      </c>
      <c r="E670" s="1873"/>
      <c r="F670" s="1873"/>
      <c r="G670" s="57"/>
      <c r="H670" s="269"/>
      <c r="I670" s="269"/>
      <c r="J670" s="269"/>
      <c r="K670" s="269"/>
    </row>
    <row r="671" spans="1:11">
      <c r="A671" s="260"/>
      <c r="B671" s="260"/>
      <c r="C671" s="260"/>
      <c r="D671" s="6"/>
      <c r="E671" s="1878" t="s">
        <v>1219</v>
      </c>
      <c r="F671" s="1878"/>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71" t="s">
        <v>1229</v>
      </c>
      <c r="E673" s="1871"/>
      <c r="F673" s="1871"/>
      <c r="G673" s="57"/>
      <c r="H673" s="269"/>
      <c r="I673" s="269"/>
      <c r="J673" s="269"/>
      <c r="K673" s="269"/>
    </row>
    <row r="674" spans="1:11">
      <c r="A674" s="260"/>
      <c r="B674" s="260"/>
      <c r="C674" s="260"/>
      <c r="D674" s="1871"/>
      <c r="E674" s="1871"/>
      <c r="F674" s="1871"/>
      <c r="G674" s="57"/>
      <c r="H674" s="269"/>
      <c r="I674" s="269"/>
      <c r="J674" s="269"/>
      <c r="K674" s="269"/>
    </row>
    <row r="675" spans="1:11">
      <c r="A675" s="260"/>
      <c r="B675" s="260"/>
      <c r="C675" s="260"/>
      <c r="D675" s="1871"/>
      <c r="E675" s="1871"/>
      <c r="F675" s="1871"/>
      <c r="G675" s="57"/>
      <c r="H675" s="269"/>
      <c r="I675" s="269"/>
      <c r="J675" s="269"/>
      <c r="K675" s="269"/>
    </row>
    <row r="676" spans="1:11">
      <c r="A676" s="260"/>
      <c r="B676" s="260"/>
      <c r="C676" s="260"/>
      <c r="D676" s="1871"/>
      <c r="E676" s="1871"/>
      <c r="F676" s="1871"/>
      <c r="G676" s="57"/>
      <c r="H676" s="269"/>
      <c r="I676" s="269"/>
      <c r="J676" s="269"/>
      <c r="K676" s="269"/>
    </row>
    <row r="677" spans="1:11">
      <c r="A677" s="260"/>
      <c r="B677" s="260"/>
      <c r="C677" s="260"/>
      <c r="D677" s="1871"/>
      <c r="E677" s="1871"/>
      <c r="F677" s="1871"/>
      <c r="G677" s="57"/>
      <c r="H677" s="269"/>
      <c r="I677" s="269"/>
      <c r="J677" s="269"/>
      <c r="K677" s="269"/>
    </row>
    <row r="678" spans="1:11" s="39" customFormat="1">
      <c r="A678" s="488"/>
      <c r="B678" s="488"/>
      <c r="C678" s="488"/>
      <c r="D678" s="1871"/>
      <c r="E678" s="1871"/>
      <c r="F678" s="1871"/>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71" t="s">
        <v>1220</v>
      </c>
      <c r="E680" s="1871"/>
      <c r="F680" s="1871"/>
      <c r="G680" s="57"/>
      <c r="H680" s="269"/>
      <c r="I680" s="269"/>
      <c r="J680" s="269"/>
      <c r="K680" s="269"/>
    </row>
    <row r="681" spans="1:11">
      <c r="A681" s="260"/>
      <c r="B681" s="260"/>
      <c r="C681" s="260"/>
      <c r="D681" s="1871"/>
      <c r="E681" s="1871"/>
      <c r="F681" s="1871"/>
      <c r="G681" s="57"/>
      <c r="H681" s="269"/>
      <c r="I681" s="269"/>
      <c r="J681" s="269"/>
      <c r="K681" s="269"/>
    </row>
    <row r="682" spans="1:11">
      <c r="A682" s="260"/>
      <c r="B682" s="260"/>
      <c r="C682" s="260"/>
      <c r="D682" s="1871"/>
      <c r="E682" s="1871"/>
      <c r="F682" s="1871"/>
      <c r="G682" s="57"/>
      <c r="H682" s="269"/>
      <c r="I682" s="269"/>
      <c r="J682" s="269"/>
      <c r="K682" s="269"/>
    </row>
    <row r="683" spans="1:11" ht="15" customHeight="1">
      <c r="A683" s="260"/>
      <c r="B683" s="260"/>
      <c r="C683" s="260"/>
      <c r="D683" s="1871"/>
      <c r="E683" s="1871"/>
      <c r="F683" s="1871"/>
      <c r="G683" s="57"/>
      <c r="H683" s="269"/>
      <c r="I683" s="269"/>
      <c r="J683" s="269"/>
      <c r="K683" s="269"/>
    </row>
    <row r="684" spans="1:11" ht="15" customHeight="1">
      <c r="A684" s="260"/>
      <c r="B684" s="260"/>
      <c r="C684" s="260"/>
      <c r="D684" s="1871"/>
      <c r="E684" s="1871"/>
      <c r="F684" s="1871"/>
      <c r="G684" s="57"/>
      <c r="H684" s="269"/>
      <c r="I684" s="269"/>
      <c r="J684" s="269"/>
      <c r="K684" s="269"/>
    </row>
    <row r="685" spans="1:11">
      <c r="A685" s="260"/>
      <c r="B685" s="260"/>
      <c r="C685" s="260"/>
      <c r="D685" s="1871"/>
      <c r="E685" s="1871"/>
      <c r="F685" s="1871"/>
      <c r="G685" s="57"/>
      <c r="H685" s="269"/>
      <c r="I685" s="269"/>
      <c r="J685" s="269"/>
      <c r="K685" s="269"/>
    </row>
    <row r="686" spans="1:11">
      <c r="A686" s="260"/>
      <c r="B686" s="260"/>
      <c r="C686" s="260"/>
      <c r="D686" s="1871"/>
      <c r="E686" s="1871"/>
      <c r="F686" s="1871"/>
      <c r="G686" s="57"/>
      <c r="H686" s="269"/>
      <c r="I686" s="269"/>
      <c r="J686" s="269"/>
      <c r="K686" s="269"/>
    </row>
    <row r="687" spans="1:11">
      <c r="A687" s="260"/>
      <c r="B687" s="260"/>
      <c r="C687" s="260"/>
      <c r="D687" s="1871"/>
      <c r="E687" s="1871"/>
      <c r="F687" s="1871"/>
      <c r="G687" s="57"/>
      <c r="H687" s="269"/>
      <c r="I687" s="269"/>
      <c r="J687" s="269"/>
      <c r="K687" s="269"/>
    </row>
    <row r="688" spans="1:11" ht="15" customHeight="1">
      <c r="A688" s="260"/>
      <c r="B688" s="260"/>
      <c r="C688" s="260"/>
      <c r="D688" s="1871"/>
      <c r="E688" s="1871"/>
      <c r="F688" s="1871"/>
      <c r="G688" s="57"/>
      <c r="H688" s="269"/>
      <c r="I688" s="269"/>
      <c r="J688" s="269"/>
      <c r="K688" s="269"/>
    </row>
    <row r="689" spans="1:11">
      <c r="A689" s="260"/>
      <c r="B689" s="260"/>
      <c r="C689" s="260"/>
      <c r="D689" s="1871"/>
      <c r="E689" s="1871"/>
      <c r="F689" s="1871"/>
      <c r="G689" s="57"/>
      <c r="H689" s="269"/>
      <c r="I689" s="269"/>
      <c r="J689" s="269"/>
      <c r="K689" s="269"/>
    </row>
    <row r="690" spans="1:11">
      <c r="A690" s="260"/>
      <c r="B690" s="260"/>
      <c r="C690" s="260"/>
      <c r="D690" s="1871"/>
      <c r="E690" s="1871"/>
      <c r="F690" s="1871"/>
      <c r="G690" s="57"/>
      <c r="H690" s="269"/>
      <c r="I690" s="269"/>
      <c r="J690" s="269"/>
      <c r="K690" s="269"/>
    </row>
    <row r="691" spans="1:11">
      <c r="A691" s="260"/>
      <c r="B691" s="260"/>
      <c r="C691" s="260"/>
      <c r="D691" s="1871"/>
      <c r="E691" s="1871"/>
      <c r="F691" s="1871"/>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71" t="s">
        <v>1230</v>
      </c>
      <c r="E693" s="1871"/>
      <c r="F693" s="1871"/>
      <c r="G693" s="57"/>
      <c r="H693" s="269"/>
      <c r="I693" s="269"/>
      <c r="J693" s="269"/>
      <c r="K693" s="269"/>
    </row>
    <row r="694" spans="1:11">
      <c r="A694" s="260"/>
      <c r="B694" s="260"/>
      <c r="C694" s="260"/>
      <c r="D694" s="1871"/>
      <c r="E694" s="1871"/>
      <c r="F694" s="1871"/>
      <c r="G694" s="57"/>
      <c r="H694" s="269"/>
      <c r="I694" s="269"/>
      <c r="J694" s="269"/>
      <c r="K694" s="269"/>
    </row>
    <row r="695" spans="1:11">
      <c r="A695" s="260"/>
      <c r="B695" s="260"/>
      <c r="C695" s="260"/>
      <c r="D695" s="1871"/>
      <c r="E695" s="1871"/>
      <c r="F695" s="1871"/>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1" t="s">
        <v>1227</v>
      </c>
      <c r="E697" s="1871"/>
      <c r="F697" s="1871"/>
      <c r="G697" s="57"/>
      <c r="H697" s="269"/>
      <c r="I697" s="269"/>
      <c r="J697" s="269"/>
      <c r="K697" s="269"/>
    </row>
    <row r="698" spans="1:11" s="683" customFormat="1">
      <c r="A698" s="260"/>
      <c r="B698" s="260"/>
      <c r="C698" s="260"/>
      <c r="D698" s="1871"/>
      <c r="E698" s="1871"/>
      <c r="F698" s="1871"/>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1" t="s">
        <v>1228</v>
      </c>
      <c r="E700" s="1871"/>
      <c r="F700" s="1871"/>
      <c r="G700" s="57"/>
      <c r="H700" s="269"/>
      <c r="I700" s="269"/>
      <c r="J700" s="269"/>
      <c r="K700" s="269"/>
    </row>
    <row r="701" spans="1:11" s="683" customFormat="1">
      <c r="A701" s="260"/>
      <c r="B701" s="260"/>
      <c r="C701" s="260"/>
      <c r="D701" s="1871"/>
      <c r="E701" s="1871"/>
      <c r="F701" s="1871"/>
      <c r="G701" s="57"/>
      <c r="H701" s="269"/>
      <c r="I701" s="269"/>
      <c r="J701" s="269"/>
      <c r="K701" s="269"/>
    </row>
    <row r="702" spans="1:11" s="683" customFormat="1">
      <c r="A702" s="260"/>
      <c r="B702" s="260"/>
      <c r="C702" s="260"/>
      <c r="D702" s="1871"/>
      <c r="E702" s="1871"/>
      <c r="F702" s="1871"/>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1" t="s">
        <v>1221</v>
      </c>
      <c r="E704" s="1871"/>
      <c r="F704" s="1871"/>
      <c r="G704" s="57"/>
      <c r="H704" s="269"/>
      <c r="I704" s="269"/>
      <c r="J704" s="269"/>
      <c r="K704" s="269"/>
    </row>
    <row r="705" spans="1:11">
      <c r="A705" s="260"/>
      <c r="B705" s="260"/>
      <c r="C705" s="260"/>
      <c r="D705" s="1871"/>
      <c r="E705" s="1871"/>
      <c r="F705" s="1871"/>
      <c r="G705" s="57"/>
      <c r="H705" s="269"/>
      <c r="I705" s="269"/>
      <c r="J705" s="269"/>
      <c r="K705" s="269"/>
    </row>
    <row r="706" spans="1:11">
      <c r="A706" s="260"/>
      <c r="B706" s="260"/>
      <c r="C706" s="260"/>
      <c r="D706" s="1871"/>
      <c r="E706" s="1871"/>
      <c r="F706" s="1871"/>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1" t="s">
        <v>1222</v>
      </c>
      <c r="E708" s="1871"/>
      <c r="F708" s="1871"/>
      <c r="G708" s="57"/>
      <c r="H708" s="269"/>
      <c r="I708" s="269"/>
      <c r="J708" s="269"/>
      <c r="K708" s="269"/>
    </row>
    <row r="709" spans="1:11">
      <c r="A709" s="260"/>
      <c r="B709" s="260"/>
      <c r="C709" s="260"/>
      <c r="D709" s="1871"/>
      <c r="E709" s="1871"/>
      <c r="F709" s="1871"/>
      <c r="G709" s="57"/>
      <c r="H709" s="269"/>
      <c r="I709" s="269"/>
      <c r="J709" s="269"/>
      <c r="K709" s="269"/>
    </row>
    <row r="710" spans="1:11">
      <c r="A710" s="260"/>
      <c r="B710" s="260"/>
      <c r="C710" s="260"/>
      <c r="D710" s="1871"/>
      <c r="E710" s="1871"/>
      <c r="F710" s="1871"/>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48" t="s">
        <v>1223</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71" t="s">
        <v>1356</v>
      </c>
      <c r="E717" s="1871"/>
      <c r="F717" s="1871"/>
      <c r="G717" s="57"/>
      <c r="H717" s="269"/>
      <c r="I717" s="269"/>
      <c r="J717" s="269"/>
      <c r="K717" s="269"/>
    </row>
    <row r="718" spans="1:11">
      <c r="A718" s="260"/>
      <c r="B718" s="260"/>
      <c r="C718" s="260"/>
      <c r="D718" s="1871"/>
      <c r="E718" s="1871"/>
      <c r="F718" s="1871"/>
      <c r="G718" s="57"/>
      <c r="H718" s="269"/>
      <c r="I718" s="269"/>
      <c r="J718" s="269"/>
      <c r="K718" s="269"/>
    </row>
    <row r="719" spans="1:11">
      <c r="A719" s="260"/>
      <c r="B719" s="260"/>
      <c r="C719" s="260"/>
      <c r="D719" s="1871"/>
      <c r="E719" s="1871"/>
      <c r="F719" s="1871"/>
      <c r="G719" s="57"/>
      <c r="H719" s="269"/>
      <c r="I719" s="269"/>
      <c r="J719" s="269"/>
      <c r="K719" s="269"/>
    </row>
    <row r="720" spans="1:11">
      <c r="A720" s="260"/>
      <c r="B720" s="260"/>
      <c r="C720" s="260"/>
      <c r="D720" s="1871"/>
      <c r="E720" s="1871"/>
      <c r="F720" s="1871"/>
      <c r="G720" s="57"/>
      <c r="H720" s="269"/>
      <c r="I720" s="269"/>
      <c r="J720" s="269"/>
      <c r="K720" s="269"/>
    </row>
    <row r="721" spans="1:11">
      <c r="A721" s="260"/>
      <c r="B721" s="260"/>
      <c r="C721" s="260"/>
      <c r="D721" s="1871"/>
      <c r="E721" s="1871"/>
      <c r="F721" s="1871"/>
      <c r="G721" s="57"/>
      <c r="H721" s="269"/>
      <c r="I721" s="269"/>
      <c r="J721" s="269"/>
      <c r="K721" s="269"/>
    </row>
    <row r="722" spans="1:11">
      <c r="A722" s="260"/>
      <c r="B722" s="260"/>
      <c r="C722" s="260"/>
      <c r="D722" s="1871"/>
      <c r="E722" s="1871"/>
      <c r="F722" s="1871"/>
      <c r="G722" s="57"/>
      <c r="H722" s="269"/>
      <c r="I722" s="269"/>
      <c r="J722" s="269"/>
      <c r="K722" s="269"/>
    </row>
    <row r="723" spans="1:11">
      <c r="A723" s="260"/>
      <c r="B723" s="260"/>
      <c r="C723" s="260"/>
      <c r="D723" s="1871"/>
      <c r="E723" s="1871"/>
      <c r="F723" s="1871"/>
      <c r="G723" s="57"/>
      <c r="H723" s="269"/>
      <c r="I723" s="269"/>
      <c r="J723" s="269"/>
      <c r="K723" s="269"/>
    </row>
    <row r="724" spans="1:11">
      <c r="A724" s="260"/>
      <c r="B724" s="260"/>
      <c r="C724" s="260"/>
      <c r="D724" s="1882" t="s">
        <v>1224</v>
      </c>
      <c r="E724" s="1882"/>
      <c r="F724" s="1882"/>
      <c r="G724" s="57"/>
      <c r="H724" s="269"/>
      <c r="I724" s="269"/>
      <c r="J724" s="269"/>
      <c r="K724" s="269"/>
    </row>
    <row r="725" spans="1:11" s="683" customFormat="1">
      <c r="A725" s="260"/>
      <c r="B725" s="260"/>
      <c r="C725" s="260"/>
      <c r="D725" s="534"/>
      <c r="E725" s="7"/>
      <c r="F725" s="7"/>
      <c r="G725" s="57"/>
      <c r="H725" s="269"/>
      <c r="I725" s="269"/>
      <c r="J725" s="269"/>
      <c r="K725" s="269"/>
    </row>
    <row r="726" spans="1:11">
      <c r="A726" s="1875" t="s">
        <v>1181</v>
      </c>
      <c r="B726" s="1875"/>
      <c r="C726" s="1875"/>
      <c r="D726" s="1875"/>
      <c r="E726" s="1875"/>
      <c r="F726" s="1875"/>
      <c r="G726" s="1875"/>
      <c r="H726" s="269"/>
      <c r="I726" s="269"/>
      <c r="J726" s="269"/>
      <c r="K726" s="269"/>
    </row>
    <row r="727" spans="1:11">
      <c r="A727" s="260"/>
      <c r="B727" s="260"/>
      <c r="C727" s="260"/>
      <c r="D727" s="263"/>
      <c r="G727" s="271"/>
      <c r="H727" s="269"/>
      <c r="I727" s="269"/>
      <c r="J727" s="269"/>
      <c r="K727" s="269"/>
    </row>
    <row r="728" spans="1:11" ht="13.2" customHeight="1">
      <c r="C728" s="260"/>
      <c r="D728" s="1890" t="s">
        <v>1197</v>
      </c>
      <c r="E728" s="1890"/>
      <c r="F728" s="1890"/>
      <c r="G728" s="271"/>
      <c r="H728" s="269"/>
      <c r="I728" s="269"/>
      <c r="J728" s="269"/>
      <c r="K728" s="269"/>
    </row>
    <row r="729" spans="1:11">
      <c r="A729" s="260"/>
      <c r="B729" s="260"/>
      <c r="C729" s="260"/>
      <c r="D729" s="1877" t="s">
        <v>1198</v>
      </c>
      <c r="E729" s="1877"/>
      <c r="F729" s="1877"/>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48" t="s">
        <v>1199</v>
      </c>
      <c r="E731" s="1848"/>
      <c r="F731" s="1848"/>
      <c r="G731" s="271"/>
      <c r="H731" s="272"/>
      <c r="I731" s="272"/>
      <c r="J731" s="272"/>
      <c r="K731" s="272"/>
    </row>
    <row r="732" spans="1:11" s="39" customFormat="1" ht="10.5" customHeight="1">
      <c r="A732" s="132"/>
      <c r="B732" s="677"/>
      <c r="C732" s="132"/>
      <c r="D732" s="1848"/>
      <c r="E732" s="1848"/>
      <c r="F732" s="1848"/>
      <c r="G732" s="271"/>
      <c r="H732" s="272"/>
      <c r="I732" s="272"/>
      <c r="J732" s="272"/>
      <c r="K732" s="272"/>
    </row>
    <row r="733" spans="1:11" s="39" customFormat="1">
      <c r="A733" s="132"/>
      <c r="B733" s="677"/>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50" t="s">
        <v>1200</v>
      </c>
      <c r="E738" s="1850"/>
      <c r="F738" s="1850"/>
      <c r="G738" s="312"/>
    </row>
    <row r="739" spans="1:11" s="410" customFormat="1">
      <c r="A739" s="409"/>
      <c r="B739" s="409"/>
      <c r="C739" s="409"/>
      <c r="D739" s="1850"/>
      <c r="E739" s="1850"/>
      <c r="F739" s="1850"/>
      <c r="G739" s="312"/>
    </row>
    <row r="740" spans="1:11" s="410" customFormat="1">
      <c r="A740" s="409"/>
      <c r="B740" s="409"/>
      <c r="C740" s="409"/>
      <c r="D740" s="1850"/>
      <c r="E740" s="1850"/>
      <c r="F740" s="1850"/>
      <c r="G740" s="312"/>
    </row>
    <row r="741" spans="1:11" s="410" customFormat="1">
      <c r="A741" s="409"/>
      <c r="B741" s="409"/>
      <c r="C741" s="409"/>
      <c r="D741" s="1850"/>
      <c r="E741" s="1850"/>
      <c r="F741" s="1850"/>
      <c r="G741" s="312"/>
    </row>
    <row r="742" spans="1:11" s="410" customFormat="1">
      <c r="A742" s="409"/>
      <c r="B742" s="409"/>
      <c r="C742" s="409"/>
      <c r="D742" s="378"/>
      <c r="E742" s="312"/>
      <c r="F742" s="312"/>
      <c r="G742" s="312"/>
    </row>
    <row r="743" spans="1:11" s="410" customFormat="1" ht="14.4">
      <c r="A743" s="261"/>
      <c r="B743" s="680" t="s">
        <v>318</v>
      </c>
      <c r="C743" s="409"/>
      <c r="D743" s="1891" t="s">
        <v>1201</v>
      </c>
      <c r="E743" s="1891"/>
      <c r="F743" s="1891"/>
      <c r="G743" s="312"/>
    </row>
    <row r="744" spans="1:11" s="410" customFormat="1">
      <c r="A744" s="409"/>
      <c r="B744" s="409"/>
      <c r="C744" s="409"/>
      <c r="D744" s="1891"/>
      <c r="E744" s="1891"/>
      <c r="F744" s="1891"/>
      <c r="G744" s="312"/>
    </row>
    <row r="745" spans="1:11" s="410" customFormat="1">
      <c r="A745" s="409"/>
      <c r="B745" s="409"/>
      <c r="C745" s="409"/>
      <c r="D745" s="1891"/>
      <c r="E745" s="1891"/>
      <c r="F745" s="1891"/>
      <c r="G745" s="312"/>
    </row>
    <row r="746" spans="1:11">
      <c r="A746" s="273"/>
      <c r="B746" s="273"/>
      <c r="C746" s="273"/>
      <c r="D746" s="378"/>
      <c r="E746" s="274"/>
      <c r="F746" s="274"/>
      <c r="G746" s="275"/>
      <c r="H746" s="269"/>
      <c r="I746" s="269"/>
      <c r="J746" s="269"/>
      <c r="K746" s="269"/>
    </row>
    <row r="747" spans="1:11" ht="14.4">
      <c r="A747" s="261"/>
      <c r="B747" s="680" t="s">
        <v>318</v>
      </c>
      <c r="C747" s="273"/>
      <c r="D747" s="1850" t="s">
        <v>1202</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0" t="s">
        <v>1203</v>
      </c>
      <c r="E750" s="1850"/>
      <c r="F750" s="1850"/>
      <c r="G750" s="275"/>
      <c r="H750" s="269"/>
      <c r="I750" s="269"/>
      <c r="J750" s="269"/>
      <c r="K750" s="269"/>
    </row>
    <row r="751" spans="1:11" s="683" customFormat="1">
      <c r="A751" s="273"/>
      <c r="B751" s="273"/>
      <c r="C751" s="273"/>
      <c r="D751" s="1850"/>
      <c r="E751" s="1850"/>
      <c r="F751" s="1850"/>
      <c r="G751" s="275"/>
      <c r="H751" s="269"/>
      <c r="I751" s="269"/>
      <c r="J751" s="269"/>
      <c r="K751" s="269"/>
    </row>
    <row r="752" spans="1:11" s="683" customFormat="1">
      <c r="A752" s="273"/>
      <c r="B752" s="273"/>
      <c r="C752" s="273"/>
      <c r="D752" s="1850"/>
      <c r="E752" s="1850"/>
      <c r="F752" s="1850"/>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5" t="s">
        <v>1204</v>
      </c>
      <c r="B754" s="1885"/>
      <c r="C754" s="1885"/>
      <c r="D754" s="1885"/>
      <c r="E754" s="1885"/>
      <c r="F754" s="1885"/>
      <c r="G754" s="1885"/>
    </row>
    <row r="755" spans="1:11">
      <c r="A755" s="260"/>
      <c r="B755" s="260"/>
      <c r="C755" s="260"/>
      <c r="D755" s="276"/>
      <c r="F755" s="147"/>
      <c r="G755" s="271"/>
    </row>
    <row r="756" spans="1:11">
      <c r="A756" s="273"/>
      <c r="B756" s="273"/>
      <c r="C756" s="443"/>
      <c r="D756" s="1886" t="s">
        <v>1188</v>
      </c>
      <c r="E756" s="1886"/>
      <c r="F756" s="1886"/>
      <c r="G756" s="271"/>
    </row>
    <row r="757" spans="1:11">
      <c r="A757" s="504"/>
      <c r="B757" s="504"/>
      <c r="C757" s="503"/>
      <c r="D757" s="1887" t="s">
        <v>1205</v>
      </c>
      <c r="E757" s="1887"/>
      <c r="F757" s="1887"/>
      <c r="G757" s="271"/>
    </row>
    <row r="758" spans="1:11">
      <c r="A758" s="273"/>
      <c r="B758" s="273"/>
      <c r="C758" s="443"/>
      <c r="D758" s="694"/>
      <c r="E758" s="694"/>
      <c r="F758" s="694"/>
      <c r="G758" s="271"/>
    </row>
    <row r="759" spans="1:11" ht="14.4">
      <c r="A759" s="261"/>
      <c r="B759" s="680" t="s">
        <v>318</v>
      </c>
      <c r="C759" s="443"/>
      <c r="D759" s="1888" t="s">
        <v>1073</v>
      </c>
      <c r="E759" s="1888"/>
      <c r="F759" s="1888"/>
      <c r="G759" s="271"/>
    </row>
    <row r="760" spans="1:11">
      <c r="A760" s="273"/>
      <c r="B760" s="273"/>
      <c r="C760" s="443"/>
      <c r="D760" s="693"/>
      <c r="E760" s="1889" t="s">
        <v>1189</v>
      </c>
      <c r="F760" s="1889"/>
      <c r="G760" s="271"/>
    </row>
    <row r="761" spans="1:11">
      <c r="A761" s="267"/>
      <c r="B761" s="267"/>
      <c r="C761" s="267"/>
      <c r="D761" s="135"/>
      <c r="F761" s="57"/>
      <c r="G761" s="271"/>
    </row>
    <row r="762" spans="1:11">
      <c r="A762" s="1883" t="s">
        <v>472</v>
      </c>
      <c r="B762" s="1883"/>
      <c r="C762" s="1883"/>
      <c r="D762" s="1883"/>
      <c r="E762" s="1883"/>
      <c r="F762" s="1883"/>
      <c r="G762" s="1883"/>
    </row>
    <row r="763" spans="1:11">
      <c r="A763" s="255"/>
      <c r="B763" s="674"/>
      <c r="C763" s="266"/>
      <c r="D763" s="271"/>
      <c r="E763" s="271"/>
      <c r="F763" s="271"/>
      <c r="G763" s="271"/>
    </row>
    <row r="764" spans="1:11">
      <c r="A764" s="135"/>
      <c r="B764" s="1884" t="s">
        <v>1072</v>
      </c>
      <c r="C764" s="1884"/>
      <c r="D764" s="1884"/>
      <c r="E764" s="1884"/>
      <c r="F764" s="1884"/>
      <c r="G764" s="271"/>
    </row>
    <row r="765" spans="1:11">
      <c r="A765" s="23"/>
      <c r="B765" s="676"/>
      <c r="G765" s="271"/>
    </row>
    <row r="766" spans="1:11">
      <c r="A766" s="1883" t="s">
        <v>473</v>
      </c>
      <c r="B766" s="1883"/>
      <c r="C766" s="1883"/>
      <c r="D766" s="1883"/>
      <c r="E766" s="1883"/>
      <c r="F766" s="1883"/>
      <c r="G766" s="1883"/>
    </row>
    <row r="767" spans="1:11">
      <c r="A767" s="255"/>
      <c r="B767" s="674"/>
      <c r="C767" s="255"/>
      <c r="D767" s="263"/>
      <c r="G767" s="271"/>
    </row>
    <row r="768" spans="1:11">
      <c r="A768" s="135"/>
      <c r="B768" s="1880" t="s">
        <v>471</v>
      </c>
      <c r="C768" s="1880"/>
      <c r="D768" s="1880"/>
      <c r="E768" s="1880"/>
      <c r="F768" s="1880"/>
      <c r="G768" s="271"/>
    </row>
    <row r="769" spans="1:7" ht="14.4">
      <c r="A769" s="261"/>
      <c r="B769" s="261"/>
      <c r="D769" s="135"/>
      <c r="E769" s="135"/>
      <c r="F769" s="271"/>
      <c r="G769" s="271"/>
    </row>
    <row r="770" spans="1:7">
      <c r="A770" s="1883" t="s">
        <v>474</v>
      </c>
      <c r="B770" s="1883"/>
      <c r="C770" s="1883"/>
      <c r="D770" s="1883"/>
      <c r="E770" s="1883"/>
      <c r="F770" s="1883"/>
      <c r="G770" s="1883"/>
    </row>
    <row r="771" spans="1:7">
      <c r="C771" s="260"/>
      <c r="D771" s="259"/>
      <c r="E771" s="135"/>
      <c r="F771" s="271"/>
      <c r="G771" s="271"/>
    </row>
    <row r="772" spans="1:7">
      <c r="A772" s="135"/>
      <c r="B772" s="1880" t="s">
        <v>471</v>
      </c>
      <c r="C772" s="1880"/>
      <c r="D772" s="1880"/>
      <c r="E772" s="1880"/>
      <c r="F772" s="1880"/>
      <c r="G772" s="271"/>
    </row>
    <row r="773" spans="1:7">
      <c r="A773" s="135"/>
      <c r="B773" s="135"/>
      <c r="C773" s="266"/>
      <c r="D773" s="271"/>
      <c r="E773" s="271"/>
      <c r="F773" s="271"/>
      <c r="G773" s="271"/>
    </row>
    <row r="774" spans="1:7">
      <c r="A774" s="1883" t="s">
        <v>475</v>
      </c>
      <c r="B774" s="1883"/>
      <c r="C774" s="1883"/>
      <c r="D774" s="1883"/>
      <c r="E774" s="1883"/>
      <c r="F774" s="1883"/>
      <c r="G774" s="1883"/>
    </row>
    <row r="775" spans="1:7">
      <c r="A775" s="135"/>
      <c r="B775" s="135"/>
    </row>
    <row r="776" spans="1:7">
      <c r="A776" s="135"/>
      <c r="B776" s="1880" t="s">
        <v>471</v>
      </c>
      <c r="C776" s="1880"/>
      <c r="D776" s="1880"/>
      <c r="E776" s="1880"/>
      <c r="F776" s="1880"/>
    </row>
    <row r="777" spans="1:7">
      <c r="A777" s="266"/>
      <c r="B777" s="266"/>
      <c r="C777" s="266"/>
      <c r="D777" s="258"/>
      <c r="F777" s="271"/>
    </row>
    <row r="778" spans="1:7">
      <c r="A778" s="1883" t="s">
        <v>476</v>
      </c>
      <c r="B778" s="1883"/>
      <c r="C778" s="1883"/>
      <c r="D778" s="1883"/>
      <c r="E778" s="1883"/>
      <c r="F778" s="1883"/>
      <c r="G778" s="1883"/>
    </row>
    <row r="779" spans="1:7">
      <c r="A779" s="135"/>
      <c r="B779" s="135"/>
    </row>
    <row r="780" spans="1:7">
      <c r="A780" s="135"/>
      <c r="B780" s="1880" t="s">
        <v>471</v>
      </c>
      <c r="C780" s="1880"/>
      <c r="D780" s="1880"/>
      <c r="E780" s="1880"/>
      <c r="F780" s="1880"/>
    </row>
    <row r="781" spans="1:7">
      <c r="A781" s="266"/>
      <c r="B781" s="266"/>
      <c r="C781" s="266"/>
      <c r="D781" s="258"/>
      <c r="F781" s="271"/>
    </row>
    <row r="782" spans="1:7">
      <c r="A782" s="1883" t="s">
        <v>477</v>
      </c>
      <c r="B782" s="1883"/>
      <c r="C782" s="1883"/>
      <c r="D782" s="1883"/>
      <c r="E782" s="1883"/>
      <c r="F782" s="1883"/>
      <c r="G782" s="1883"/>
    </row>
    <row r="783" spans="1:7">
      <c r="A783" s="135"/>
      <c r="B783" s="135"/>
    </row>
    <row r="784" spans="1:7">
      <c r="A784" s="135"/>
      <c r="B784" s="1880" t="s">
        <v>471</v>
      </c>
      <c r="C784" s="1880"/>
      <c r="D784" s="1880"/>
      <c r="E784" s="1880"/>
      <c r="F784" s="1880"/>
    </row>
    <row r="785" spans="1:7">
      <c r="A785" s="265"/>
      <c r="B785" s="265"/>
      <c r="C785" s="265"/>
      <c r="D785" s="277"/>
      <c r="E785" s="57"/>
      <c r="F785" s="57"/>
      <c r="G785" s="57"/>
    </row>
    <row r="786" spans="1:7">
      <c r="A786" s="1883" t="s">
        <v>192</v>
      </c>
      <c r="B786" s="1883"/>
      <c r="C786" s="1883"/>
      <c r="D786" s="1883"/>
      <c r="E786" s="1883"/>
      <c r="F786" s="1883"/>
      <c r="G786" s="1883"/>
    </row>
    <row r="787" spans="1:7">
      <c r="A787" s="135"/>
      <c r="B787" s="135"/>
    </row>
    <row r="788" spans="1:7">
      <c r="A788" s="135"/>
      <c r="B788" s="1880" t="s">
        <v>471</v>
      </c>
      <c r="C788" s="1880"/>
      <c r="D788" s="1880"/>
      <c r="E788" s="1880"/>
      <c r="F788" s="1880"/>
    </row>
    <row r="789" spans="1:7">
      <c r="A789" s="135"/>
      <c r="B789" s="135"/>
      <c r="D789" s="258"/>
    </row>
    <row r="790" spans="1:7">
      <c r="A790" s="1883" t="s">
        <v>941</v>
      </c>
      <c r="B790" s="1883"/>
      <c r="C790" s="1883"/>
      <c r="D790" s="1883"/>
      <c r="E790" s="1883"/>
      <c r="F790" s="1883"/>
      <c r="G790" s="1883"/>
    </row>
    <row r="791" spans="1:7">
      <c r="A791" s="135"/>
      <c r="B791" s="135"/>
    </row>
    <row r="792" spans="1:7">
      <c r="A792" s="135"/>
      <c r="B792" s="1880" t="s">
        <v>471</v>
      </c>
      <c r="C792" s="1880"/>
      <c r="D792" s="1880"/>
      <c r="E792" s="1880"/>
      <c r="F792" s="1880"/>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16" zoomScaleNormal="100" zoomScaleSheetLayoutView="100" workbookViewId="0">
      <selection activeCell="A11" sqref="A11:J13"/>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30" t="s">
        <v>2434</v>
      </c>
      <c r="B2" s="1931"/>
      <c r="C2" s="1931"/>
      <c r="D2" s="1931"/>
      <c r="E2" s="1931"/>
      <c r="F2" s="1931"/>
      <c r="G2" s="1931"/>
      <c r="H2" s="1931"/>
      <c r="I2" s="1931"/>
      <c r="J2" s="1931"/>
    </row>
    <row r="3" spans="1:10" ht="15.6">
      <c r="A3" s="1935" t="s">
        <v>684</v>
      </c>
      <c r="B3" s="1936"/>
      <c r="C3" s="1936"/>
      <c r="D3" s="1936"/>
      <c r="E3" s="1936"/>
      <c r="F3" s="1936"/>
      <c r="G3" s="1936"/>
      <c r="H3" s="1936"/>
      <c r="I3" s="1936"/>
      <c r="J3" s="1936"/>
    </row>
    <row r="4" spans="1:10" ht="15">
      <c r="A4" s="1937" t="s">
        <v>1510</v>
      </c>
      <c r="B4" s="1936"/>
      <c r="C4" s="1936"/>
      <c r="D4" s="1936"/>
      <c r="E4" s="1936"/>
      <c r="F4" s="1936"/>
      <c r="G4" s="1936"/>
      <c r="H4" s="1936"/>
      <c r="I4" s="1936"/>
      <c r="J4" s="1936"/>
    </row>
    <row r="5" spans="1:10" ht="13.2"/>
    <row r="6" spans="1:10" ht="13.2">
      <c r="A6" s="1932" t="s">
        <v>1532</v>
      </c>
      <c r="B6" s="1933"/>
      <c r="C6" s="1933"/>
      <c r="D6" s="1933"/>
      <c r="E6" s="1933"/>
      <c r="F6" s="1933"/>
      <c r="G6" s="1933"/>
      <c r="H6" s="1933"/>
      <c r="I6" s="1933"/>
      <c r="J6" s="1933"/>
    </row>
    <row r="7" spans="1:10" ht="13.2">
      <c r="A7" s="1933"/>
      <c r="B7" s="1933"/>
      <c r="C7" s="1933"/>
      <c r="D7" s="1933"/>
      <c r="E7" s="1933"/>
      <c r="F7" s="1933"/>
      <c r="G7" s="1933"/>
      <c r="H7" s="1933"/>
      <c r="I7" s="1933"/>
      <c r="J7" s="1933"/>
    </row>
    <row r="8" spans="1:10" ht="13.2">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3.2">
      <c r="A10" s="773"/>
      <c r="B10" s="773"/>
      <c r="C10" s="773"/>
      <c r="D10" s="773"/>
      <c r="E10" s="773"/>
      <c r="F10" s="773"/>
      <c r="G10" s="773"/>
      <c r="H10" s="773"/>
      <c r="I10" s="773"/>
      <c r="J10" s="773"/>
    </row>
    <row r="11" spans="1:10" ht="13.2">
      <c r="A11" s="1938" t="s">
        <v>1395</v>
      </c>
      <c r="B11" s="1939"/>
      <c r="C11" s="1939"/>
      <c r="D11" s="1939"/>
      <c r="E11" s="1939"/>
      <c r="F11" s="1939"/>
      <c r="G11" s="1939"/>
      <c r="H11" s="1939"/>
      <c r="I11" s="1939"/>
      <c r="J11" s="1939"/>
    </row>
    <row r="12" spans="1:10" ht="13.2">
      <c r="A12" s="1939"/>
      <c r="B12" s="1939"/>
      <c r="C12" s="1939"/>
      <c r="D12" s="1939"/>
      <c r="E12" s="1939"/>
      <c r="F12" s="1939"/>
      <c r="G12" s="1939"/>
      <c r="H12" s="1939"/>
      <c r="I12" s="1939"/>
      <c r="J12" s="1939"/>
    </row>
    <row r="13" spans="1:10" ht="13.2">
      <c r="A13" s="1939"/>
      <c r="B13" s="1939"/>
      <c r="C13" s="1939"/>
      <c r="D13" s="1939"/>
      <c r="E13" s="1939"/>
      <c r="F13" s="1939"/>
      <c r="G13" s="1939"/>
      <c r="H13" s="1939"/>
      <c r="I13" s="1939"/>
      <c r="J13" s="1939"/>
    </row>
    <row r="14" spans="1:10" ht="13.2"/>
    <row r="15" spans="1:10" ht="12.75" customHeight="1">
      <c r="A15" s="1940" t="s">
        <v>1482</v>
      </c>
      <c r="B15" s="1940"/>
      <c r="C15" s="1940"/>
      <c r="D15" s="1940"/>
      <c r="E15" s="1940"/>
      <c r="F15" s="1940"/>
      <c r="G15" s="1940"/>
      <c r="H15" s="1940"/>
      <c r="I15" s="1940"/>
      <c r="J15" s="1940"/>
    </row>
    <row r="16" spans="1:10" ht="13.2">
      <c r="A16" s="1940"/>
      <c r="B16" s="1940"/>
      <c r="C16" s="1940"/>
      <c r="D16" s="1940"/>
      <c r="E16" s="1940"/>
      <c r="F16" s="1940"/>
      <c r="G16" s="1940"/>
      <c r="H16" s="1940"/>
      <c r="I16" s="1940"/>
      <c r="J16" s="1940"/>
    </row>
    <row r="17" spans="1:10" ht="13.2">
      <c r="A17" s="1940"/>
      <c r="B17" s="1940"/>
      <c r="C17" s="1940"/>
      <c r="D17" s="1940"/>
      <c r="E17" s="1940"/>
      <c r="F17" s="1940"/>
      <c r="G17" s="1940"/>
      <c r="H17" s="1940"/>
      <c r="I17" s="1940"/>
      <c r="J17" s="1940"/>
    </row>
    <row r="18" spans="1:10" ht="13.2">
      <c r="A18" s="1941"/>
      <c r="B18" s="1941"/>
      <c r="C18" s="1941"/>
      <c r="D18" s="1941"/>
      <c r="E18" s="1941"/>
      <c r="F18" s="1941"/>
      <c r="G18" s="1941"/>
      <c r="H18" s="1941"/>
      <c r="I18" s="1941"/>
      <c r="J18" s="1941"/>
    </row>
    <row r="19" spans="1:10" ht="13.2">
      <c r="A19" s="1941"/>
      <c r="B19" s="1941"/>
      <c r="C19" s="1941"/>
      <c r="D19" s="1941"/>
      <c r="E19" s="1941"/>
      <c r="F19" s="1941"/>
      <c r="G19" s="1941"/>
      <c r="H19" s="1941"/>
      <c r="I19" s="1941"/>
      <c r="J19" s="1941"/>
    </row>
    <row r="20" spans="1:10" ht="13.2">
      <c r="A20" s="1941"/>
      <c r="B20" s="1941"/>
      <c r="C20" s="1941"/>
      <c r="D20" s="1941"/>
      <c r="E20" s="1941"/>
      <c r="F20" s="1941"/>
      <c r="G20" s="1941"/>
      <c r="H20" s="1941"/>
      <c r="I20" s="1941"/>
      <c r="J20" s="1941"/>
    </row>
    <row r="21" spans="1:10" ht="13.2">
      <c r="A21" s="774" t="s">
        <v>1396</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42" t="s">
        <v>1397</v>
      </c>
      <c r="B23" s="1936"/>
      <c r="C23" s="1936"/>
      <c r="D23" s="1936"/>
      <c r="E23" s="1936"/>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2" t="s">
        <v>1398</v>
      </c>
      <c r="B60" s="1933"/>
      <c r="C60" s="1933"/>
      <c r="D60" s="1933"/>
      <c r="E60" s="1933"/>
      <c r="F60" s="1933"/>
      <c r="G60" s="1933"/>
      <c r="H60" s="1933"/>
      <c r="I60" s="1933"/>
      <c r="J60" s="1933"/>
    </row>
    <row r="61" spans="1:10" ht="13.2">
      <c r="A61" s="1933"/>
      <c r="B61" s="1933"/>
      <c r="C61" s="1933"/>
      <c r="D61" s="1933"/>
      <c r="E61" s="1933"/>
      <c r="F61" s="1933"/>
      <c r="G61" s="1933"/>
      <c r="H61" s="1933"/>
      <c r="I61" s="1933"/>
      <c r="J61" s="1933"/>
    </row>
    <row r="62" spans="1:10" ht="13.2">
      <c r="A62" s="1933"/>
      <c r="B62" s="1933"/>
      <c r="C62" s="1933"/>
      <c r="D62" s="1933"/>
      <c r="E62" s="1933"/>
      <c r="F62" s="1933"/>
      <c r="G62" s="1933"/>
      <c r="H62" s="1933"/>
      <c r="I62" s="1933"/>
      <c r="J62" s="1933"/>
    </row>
    <row r="63" spans="1:10" ht="13.2"/>
    <row r="64" spans="1:10" ht="13.2">
      <c r="A64" s="673" t="s">
        <v>1397</v>
      </c>
    </row>
    <row r="65" spans="1:9" ht="13.2"/>
    <row r="66" spans="1:9" ht="13.2"/>
    <row r="67" spans="1:9" ht="13.2"/>
    <row r="68" spans="1:9" ht="13.2"/>
    <row r="69" spans="1:9" ht="13.2"/>
    <row r="70" spans="1:9" ht="13.2"/>
    <row r="71" spans="1:9" ht="13.2"/>
    <row r="72" spans="1:9" ht="13.2"/>
    <row r="73" spans="1:9" ht="13.2"/>
    <row r="74" spans="1:9" ht="13.2"/>
    <row r="75" spans="1:9" ht="13.2">
      <c r="A75" s="1934" t="s">
        <v>1399</v>
      </c>
      <c r="B75" s="1934"/>
      <c r="C75" s="1934"/>
      <c r="D75" s="1934"/>
      <c r="E75" s="1934"/>
      <c r="F75" s="1934"/>
      <c r="G75" s="1934"/>
      <c r="H75" s="1934"/>
      <c r="I75" s="1934"/>
    </row>
    <row r="76" spans="1:9" ht="13.2">
      <c r="A76" s="1856" t="s">
        <v>1097</v>
      </c>
      <c r="B76" s="1856"/>
      <c r="C76" s="1856"/>
      <c r="D76" s="1856"/>
      <c r="E76" s="1856"/>
    </row>
    <row r="77" spans="1:9" ht="13.2">
      <c r="A77" s="1856" t="s">
        <v>1400</v>
      </c>
      <c r="B77" s="1856"/>
      <c r="C77" s="1856"/>
      <c r="D77" s="1856"/>
      <c r="E77" s="1856"/>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AN14" sqref="AN1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373" t="s">
        <v>105</v>
      </c>
      <c r="B8" s="2373"/>
      <c r="C8" s="2373"/>
      <c r="D8" s="2373"/>
      <c r="E8" s="2373"/>
      <c r="F8" s="2373"/>
      <c r="G8" s="2373"/>
      <c r="H8" s="2373"/>
      <c r="I8" s="2373"/>
      <c r="J8" s="2373"/>
      <c r="K8" s="2373"/>
      <c r="L8" s="2373"/>
      <c r="M8" s="2373"/>
      <c r="N8" s="2373"/>
      <c r="O8" s="2373"/>
      <c r="P8" s="2373"/>
      <c r="Q8" s="2373"/>
      <c r="R8" s="2373"/>
      <c r="S8" s="2373"/>
      <c r="T8" s="2373"/>
      <c r="U8" s="2373"/>
      <c r="V8" s="2373"/>
      <c r="W8" s="2373"/>
      <c r="X8" s="2373"/>
      <c r="Y8" s="2373"/>
      <c r="Z8" s="2373"/>
      <c r="AA8" s="2373"/>
      <c r="AB8" s="2373"/>
      <c r="AC8" s="2373"/>
      <c r="AD8" s="2373"/>
      <c r="AE8" s="2373"/>
      <c r="AF8" s="2373"/>
      <c r="AG8" s="2373"/>
      <c r="AH8" s="2373"/>
      <c r="AI8" s="2373"/>
      <c r="AJ8" s="2373"/>
      <c r="AK8" s="2373"/>
      <c r="AL8" s="2373"/>
      <c r="AM8" s="1573"/>
      <c r="AN8" s="1573"/>
      <c r="AO8" s="1573"/>
      <c r="AP8" s="1573"/>
      <c r="AQ8" s="1573"/>
      <c r="AR8" s="1573"/>
      <c r="AS8" s="1573"/>
      <c r="AT8" s="1573"/>
      <c r="AU8" s="1573"/>
      <c r="AV8" s="1573"/>
      <c r="AW8" s="1573"/>
      <c r="AX8" s="1573"/>
      <c r="AY8" s="1573"/>
    </row>
    <row r="9" spans="1:96" s="720" customFormat="1" ht="13.2">
      <c r="A9" s="2015" t="s">
        <v>2006</v>
      </c>
      <c r="B9" s="2015"/>
      <c r="C9" s="2015"/>
      <c r="D9" s="2015"/>
      <c r="E9" s="2015"/>
      <c r="F9" s="2015"/>
      <c r="G9" s="2015"/>
      <c r="H9" s="2015"/>
      <c r="I9" s="2015"/>
      <c r="J9" s="2015"/>
      <c r="K9" s="2015"/>
      <c r="L9" s="2015"/>
      <c r="M9" s="2015"/>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c r="AM9" s="1512"/>
      <c r="AN9" s="1512"/>
      <c r="AO9" s="1512"/>
      <c r="AP9" s="1512"/>
      <c r="AQ9" s="1512"/>
      <c r="AR9" s="1512"/>
      <c r="AS9" s="1512"/>
      <c r="AT9" s="1512"/>
      <c r="AU9" s="1512"/>
      <c r="AV9" s="1512"/>
      <c r="AW9" s="1512"/>
      <c r="AX9" s="1512"/>
      <c r="AY9" s="1512"/>
      <c r="CR9" s="25"/>
    </row>
    <row r="10" spans="1:96" ht="15" customHeight="1">
      <c r="A10" s="2171" t="s">
        <v>2007</v>
      </c>
      <c r="B10" s="2171"/>
      <c r="C10" s="2171"/>
      <c r="D10" s="2171"/>
      <c r="E10" s="2171"/>
      <c r="F10" s="2171"/>
      <c r="G10" s="2171"/>
      <c r="H10" s="2171"/>
      <c r="I10" s="2171"/>
      <c r="J10" s="2171"/>
      <c r="K10" s="2171"/>
      <c r="L10" s="2171"/>
      <c r="M10" s="2171"/>
      <c r="N10" s="2171"/>
      <c r="O10" s="2171"/>
      <c r="P10" s="2171"/>
      <c r="Q10" s="2171"/>
      <c r="R10" s="2171"/>
      <c r="S10" s="2171"/>
      <c r="T10" s="2171"/>
      <c r="U10" s="2171"/>
      <c r="V10" s="2171"/>
      <c r="W10" s="2171"/>
      <c r="X10" s="2171"/>
      <c r="Y10" s="2171"/>
      <c r="Z10" s="2171"/>
      <c r="AA10" s="2171"/>
      <c r="AB10" s="2171"/>
      <c r="AC10" s="2171"/>
      <c r="AD10" s="2171"/>
      <c r="AE10" s="2171"/>
      <c r="AF10" s="2171"/>
      <c r="AG10" s="2171"/>
      <c r="AH10" s="2171"/>
      <c r="AI10" s="2171"/>
      <c r="AJ10" s="2171"/>
      <c r="AK10" s="2171"/>
      <c r="AL10" s="2171"/>
      <c r="AM10" s="20"/>
      <c r="AN10" s="20"/>
      <c r="AO10" s="20"/>
      <c r="AP10" s="20"/>
      <c r="AQ10" s="20"/>
      <c r="AR10" s="20"/>
      <c r="AS10" s="20"/>
      <c r="AT10" s="20"/>
      <c r="AU10" s="20"/>
      <c r="AV10" s="20"/>
      <c r="AW10" s="20"/>
      <c r="AX10" s="20"/>
      <c r="AY10" s="20"/>
    </row>
    <row r="11" spans="1:96" ht="15" customHeight="1">
      <c r="A11" s="2015" t="s">
        <v>2027</v>
      </c>
      <c r="B11" s="2015"/>
      <c r="C11" s="2015"/>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c r="AM11" s="1512"/>
      <c r="AN11" s="1512"/>
      <c r="AO11" s="1512"/>
      <c r="AP11" s="1512"/>
      <c r="AQ11" s="1512"/>
      <c r="AR11" s="1512"/>
      <c r="AS11" s="1512"/>
      <c r="AT11" s="1512"/>
      <c r="AU11" s="1512"/>
      <c r="AV11" s="1512"/>
      <c r="AW11" s="1512"/>
      <c r="AX11" s="1512"/>
      <c r="AY11" s="1512"/>
    </row>
    <row r="12" spans="1:96" ht="13.2">
      <c r="A12" s="2176" t="s">
        <v>2460</v>
      </c>
      <c r="B12" s="2177"/>
      <c r="C12" s="2177"/>
      <c r="D12" s="2177"/>
      <c r="E12" s="2177"/>
      <c r="F12" s="2177"/>
      <c r="G12" s="2177"/>
      <c r="H12" s="2177"/>
      <c r="I12" s="2177"/>
      <c r="J12" s="2177"/>
      <c r="K12" s="2177"/>
      <c r="L12" s="2177"/>
      <c r="M12" s="2177"/>
      <c r="N12" s="2177"/>
      <c r="O12" s="2177"/>
      <c r="P12" s="2177"/>
      <c r="Q12" s="2177"/>
      <c r="R12" s="2177"/>
      <c r="S12" s="2177"/>
      <c r="T12" s="2177"/>
      <c r="U12" s="2177"/>
      <c r="V12" s="2177"/>
      <c r="W12" s="2177"/>
      <c r="X12" s="2177"/>
      <c r="Y12" s="2177"/>
      <c r="Z12" s="2177"/>
      <c r="AA12" s="2177"/>
      <c r="AB12" s="2177"/>
      <c r="AC12" s="2177"/>
      <c r="AD12" s="2177"/>
      <c r="AE12" s="2177"/>
      <c r="AF12" s="2177"/>
      <c r="AG12" s="2177"/>
      <c r="AH12" s="2177"/>
      <c r="AI12" s="2177"/>
      <c r="AJ12" s="2177"/>
      <c r="AK12" s="2177"/>
      <c r="AL12" s="2177"/>
      <c r="AM12" s="1518"/>
      <c r="AN12" s="1518"/>
      <c r="AO12" s="1518"/>
      <c r="AP12" s="1518"/>
      <c r="AQ12" s="1518"/>
      <c r="AR12" s="1518"/>
      <c r="AS12" s="1518"/>
      <c r="AT12" s="1518"/>
      <c r="AU12" s="1518"/>
      <c r="AV12" s="1518"/>
      <c r="AW12" s="1518"/>
      <c r="AX12" s="1518"/>
      <c r="AY12" s="1518"/>
    </row>
    <row r="13" spans="1:96" ht="13.2">
      <c r="A13" s="1860" t="s">
        <v>1390</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4"/>
      <c r="AN13" s="1574"/>
      <c r="AO13" s="1574"/>
      <c r="AP13" s="1574"/>
      <c r="AQ13" s="1574"/>
      <c r="AR13" s="1574"/>
      <c r="AS13" s="1574"/>
      <c r="AT13" s="1574"/>
      <c r="AU13" s="1574"/>
      <c r="AV13" s="1574"/>
      <c r="AW13" s="1574"/>
      <c r="AX13" s="1574"/>
      <c r="AY13" s="1574"/>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141" t="s">
        <v>2569</v>
      </c>
      <c r="I16" s="2142"/>
      <c r="J16" s="2142"/>
      <c r="K16" s="2142"/>
      <c r="L16" s="2142"/>
      <c r="M16" s="2142"/>
      <c r="N16" s="2142"/>
      <c r="O16" s="2142"/>
      <c r="P16" s="2142"/>
      <c r="Q16" s="2142"/>
      <c r="R16" s="2142"/>
      <c r="S16" s="2142"/>
      <c r="T16" s="2142"/>
      <c r="U16" s="2142"/>
      <c r="V16" s="2142"/>
      <c r="W16" s="2142"/>
      <c r="X16" s="2142"/>
      <c r="Y16" s="2142"/>
      <c r="Z16" s="2142"/>
      <c r="AA16" s="2142"/>
      <c r="AB16" s="2142"/>
      <c r="AC16" s="2142"/>
      <c r="AD16" s="2142"/>
      <c r="AE16" s="2142"/>
      <c r="AF16" s="2142"/>
      <c r="AG16" s="2142"/>
      <c r="AH16" s="2142"/>
      <c r="AI16" s="2142"/>
      <c r="AJ16" s="2142"/>
    </row>
    <row r="17" spans="1:96" ht="12.75" customHeight="1"/>
    <row r="18" spans="1:96" ht="12.75" customHeight="1">
      <c r="A18" s="134" t="s">
        <v>106</v>
      </c>
      <c r="C18" s="7"/>
      <c r="D18" s="7"/>
      <c r="E18" s="7"/>
      <c r="F18" s="7"/>
      <c r="G18" s="7"/>
      <c r="H18" s="2073" t="s">
        <v>2530</v>
      </c>
      <c r="I18" s="2028"/>
      <c r="J18" s="2028"/>
      <c r="K18" s="2028"/>
      <c r="L18" s="2028"/>
      <c r="M18" s="2028"/>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row>
    <row r="19" spans="1:96" ht="12.75" customHeight="1"/>
    <row r="20" spans="1:96" ht="14.25" customHeight="1">
      <c r="A20" s="2173" t="s">
        <v>939</v>
      </c>
      <c r="B20" s="2173"/>
      <c r="C20" s="2173"/>
      <c r="D20" s="2173"/>
      <c r="E20" s="2173"/>
      <c r="F20" s="2173"/>
      <c r="G20" s="2173"/>
      <c r="H20" s="2173"/>
      <c r="I20" s="2173"/>
      <c r="J20" s="2173"/>
      <c r="K20" s="2173"/>
      <c r="L20" s="2173"/>
      <c r="M20" s="2173"/>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2173"/>
      <c r="AL20" s="2173"/>
      <c r="AM20" s="1576"/>
      <c r="AN20" s="1576"/>
      <c r="AO20" s="1576"/>
      <c r="AP20" s="1576"/>
      <c r="AQ20" s="1576"/>
      <c r="AR20" s="1576"/>
      <c r="AS20" s="1576"/>
      <c r="AT20" s="1576"/>
      <c r="AU20" s="1576"/>
      <c r="AV20" s="1576"/>
      <c r="AW20" s="1576"/>
      <c r="AX20" s="1576"/>
      <c r="AY20" s="1576"/>
    </row>
    <row r="21" spans="1:96" ht="12.75" customHeight="1">
      <c r="A21" s="2143" t="s">
        <v>1119</v>
      </c>
      <c r="B21" s="2143"/>
      <c r="C21" s="2143"/>
      <c r="D21" s="2143"/>
      <c r="E21" s="2143"/>
      <c r="F21" s="2143"/>
      <c r="G21" s="2143"/>
      <c r="H21" s="2143"/>
      <c r="I21" s="2143"/>
      <c r="J21" s="2143"/>
      <c r="K21" s="2143"/>
      <c r="L21" s="2143"/>
      <c r="M21" s="2143"/>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c r="AL21" s="214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49">
        <f>'Basis &amp; Credits'!AB56</f>
        <v>2986627</v>
      </c>
      <c r="N26" s="2149"/>
      <c r="O26" s="2149"/>
      <c r="P26" s="2149"/>
      <c r="Q26" s="2149"/>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07">
        <f>'Basis &amp; Credits'!AB77</f>
        <v>8336284</v>
      </c>
      <c r="N27" s="2207"/>
      <c r="O27" s="2207"/>
      <c r="P27" s="2207"/>
      <c r="Q27" s="2207"/>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1961" t="s">
        <v>707</v>
      </c>
      <c r="P33" s="1961"/>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2">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2">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2">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2">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816</v>
      </c>
      <c r="B117" s="35"/>
      <c r="C117" s="35"/>
    </row>
    <row r="118" spans="1:96" ht="13.2"/>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174"/>
      <c r="H122" s="2174"/>
      <c r="I122" s="239" t="s">
        <v>187</v>
      </c>
      <c r="L122" s="2174"/>
      <c r="M122" s="2174"/>
      <c r="N122" s="2174"/>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144"/>
      <c r="D124" s="2144"/>
      <c r="E124" s="2144"/>
      <c r="F124" s="2144"/>
      <c r="G124" s="2144"/>
      <c r="H124" s="2144"/>
      <c r="I124" s="2144"/>
      <c r="J124" s="2144"/>
      <c r="K124" s="2144"/>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664</v>
      </c>
      <c r="Y126" s="2174"/>
      <c r="Z126" s="2174"/>
      <c r="AA126" s="2174"/>
      <c r="AB126" s="2174"/>
      <c r="AC126" s="2174"/>
      <c r="AD126" s="2174"/>
      <c r="AE126" s="2174"/>
      <c r="AF126" s="2174"/>
      <c r="AG126" s="2174"/>
      <c r="AH126" s="2174"/>
      <c r="AI126" s="2174"/>
      <c r="AJ126" s="2174"/>
      <c r="AK126" s="2174"/>
    </row>
    <row r="127" spans="1:96" ht="13.2">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2">
      <c r="A129" s="698"/>
      <c r="B129" s="150"/>
      <c r="R129" s="265"/>
      <c r="S129" s="265"/>
      <c r="T129" s="265"/>
      <c r="U129" s="265"/>
      <c r="V129" s="265"/>
      <c r="W129" s="265"/>
      <c r="X129" s="58"/>
      <c r="Y129" s="2175"/>
      <c r="Z129" s="2175"/>
      <c r="AA129" s="2175"/>
      <c r="AB129" s="2175"/>
      <c r="AC129" s="2175"/>
      <c r="AD129" s="2175"/>
      <c r="AE129" s="2175"/>
      <c r="AF129" s="2175"/>
      <c r="AG129" s="2175"/>
      <c r="AH129" s="2175"/>
      <c r="AI129" s="2175"/>
      <c r="AJ129" s="2175"/>
      <c r="AK129" s="2175"/>
      <c r="AL129" s="698"/>
      <c r="AM129" s="1581"/>
      <c r="AN129" s="1581"/>
      <c r="AO129" s="1581"/>
      <c r="AP129" s="1581"/>
      <c r="AQ129" s="1581"/>
      <c r="AR129" s="1581"/>
      <c r="AS129" s="1581"/>
      <c r="AT129" s="1581"/>
      <c r="AU129" s="1581"/>
      <c r="AV129" s="1581"/>
      <c r="AW129" s="1581"/>
      <c r="AX129" s="1581"/>
      <c r="AY129" s="1581"/>
    </row>
    <row r="130" spans="1:96" ht="13.2">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175"/>
      <c r="Z132" s="2175"/>
      <c r="AA132" s="2175"/>
      <c r="AB132" s="2175"/>
      <c r="AC132" s="2175"/>
      <c r="AD132" s="2175"/>
      <c r="AE132" s="2175"/>
      <c r="AF132" s="2175"/>
      <c r="AG132" s="2175"/>
      <c r="AH132" s="2175"/>
      <c r="AI132" s="2175"/>
      <c r="AJ132" s="2175"/>
      <c r="AK132" s="217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081"/>
      <c r="G150" s="2081"/>
      <c r="H150" s="2081"/>
      <c r="I150" s="2081"/>
      <c r="J150" s="2081"/>
      <c r="K150" s="2081"/>
      <c r="L150" s="2081"/>
      <c r="M150" s="2081"/>
      <c r="N150" s="2081"/>
      <c r="O150" s="2081"/>
      <c r="P150" s="2081"/>
      <c r="Q150" s="2081"/>
      <c r="R150" s="2081"/>
      <c r="S150" s="2081"/>
      <c r="T150" s="208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681</v>
      </c>
      <c r="F153" s="32"/>
      <c r="G153" s="32"/>
      <c r="H153" s="32"/>
      <c r="I153" s="32"/>
      <c r="J153" s="32"/>
      <c r="K153" s="32"/>
      <c r="L153" s="32"/>
      <c r="M153" s="32"/>
      <c r="N153" s="32"/>
      <c r="O153" s="2073" t="s">
        <v>2537</v>
      </c>
      <c r="P153" s="2073"/>
      <c r="Q153" s="2073"/>
      <c r="R153" s="2073"/>
      <c r="S153" s="2073"/>
      <c r="T153" s="2073"/>
      <c r="U153" s="2073"/>
      <c r="V153" s="2073"/>
      <c r="W153" s="2073"/>
      <c r="X153" s="2073"/>
      <c r="Y153" s="2073"/>
      <c r="Z153" s="2073"/>
      <c r="AA153" s="2073"/>
      <c r="AB153" s="2073"/>
      <c r="AC153" s="2073"/>
      <c r="AD153" s="2073"/>
      <c r="AE153" s="2073"/>
      <c r="AF153" s="2073"/>
      <c r="AG153" s="2073"/>
      <c r="AH153" s="2073"/>
    </row>
    <row r="154" spans="1:96" ht="12.75" customHeight="1">
      <c r="D154" s="467" t="s">
        <v>464</v>
      </c>
      <c r="F154" s="32"/>
      <c r="G154" s="32"/>
      <c r="H154" s="32"/>
      <c r="I154" s="32"/>
      <c r="J154" s="32"/>
      <c r="K154" s="32"/>
      <c r="L154" s="32"/>
      <c r="M154" s="32"/>
      <c r="N154" s="32"/>
      <c r="O154" s="1959" t="s">
        <v>2570</v>
      </c>
      <c r="P154" s="1959"/>
      <c r="Q154" s="1959"/>
      <c r="R154" s="1959"/>
      <c r="S154" s="1959"/>
      <c r="T154" s="1959"/>
      <c r="U154" s="1959"/>
      <c r="V154" s="1959"/>
      <c r="W154" s="1959"/>
      <c r="X154" s="1959"/>
      <c r="Y154" s="1959"/>
      <c r="Z154" s="1959"/>
      <c r="AA154" s="1959"/>
      <c r="AB154" s="1959"/>
      <c r="AC154" s="1959"/>
      <c r="AD154" s="1959"/>
      <c r="AE154" s="1959"/>
      <c r="AF154" s="1959"/>
      <c r="AG154" s="1959"/>
      <c r="AH154" s="1959"/>
      <c r="AZ154" s="25"/>
    </row>
    <row r="155" spans="1:96" ht="13.2">
      <c r="D155" s="13" t="s">
        <v>465</v>
      </c>
      <c r="F155" s="13"/>
      <c r="G155" s="13"/>
      <c r="H155" s="13"/>
      <c r="I155" s="13"/>
      <c r="J155" s="13"/>
      <c r="K155" s="13"/>
      <c r="L155" s="13"/>
      <c r="M155" s="13"/>
      <c r="N155" s="13"/>
      <c r="O155" s="2163" t="s">
        <v>2543</v>
      </c>
      <c r="P155" s="2164"/>
      <c r="Q155" s="2164"/>
      <c r="R155" s="2164"/>
      <c r="S155" s="2164"/>
      <c r="T155" s="2164"/>
      <c r="U155" s="2164"/>
      <c r="V155" s="2164"/>
      <c r="W155" s="2164"/>
      <c r="X155" s="2164"/>
      <c r="Y155" s="2164"/>
      <c r="Z155" s="2164"/>
      <c r="AA155" s="2164"/>
      <c r="AB155" s="2164"/>
      <c r="AC155" s="2164"/>
      <c r="AD155" s="2164"/>
      <c r="AE155" s="2164"/>
      <c r="AF155" s="2164"/>
      <c r="AG155" s="2164"/>
      <c r="AH155" s="2164"/>
      <c r="AZ155" s="25"/>
    </row>
    <row r="156" spans="1:96" ht="13.2">
      <c r="D156" s="32" t="s">
        <v>324</v>
      </c>
      <c r="F156" s="32"/>
      <c r="G156" s="32"/>
      <c r="H156" s="32"/>
      <c r="I156" s="32"/>
      <c r="J156" s="32"/>
      <c r="K156" s="32"/>
      <c r="L156" s="32"/>
      <c r="M156" s="32"/>
      <c r="N156" s="32"/>
      <c r="O156" s="1955" t="s">
        <v>2538</v>
      </c>
      <c r="P156" s="1955"/>
      <c r="Q156" s="1955"/>
      <c r="R156" s="1955"/>
      <c r="S156" s="1955"/>
      <c r="T156" s="1955"/>
      <c r="U156" s="1955"/>
      <c r="V156" s="1955"/>
      <c r="W156" s="1955"/>
      <c r="X156" s="1955"/>
      <c r="Y156" s="1955"/>
      <c r="Z156" s="1955"/>
      <c r="AA156" s="1955"/>
      <c r="AB156" s="1955"/>
      <c r="AC156" s="1955"/>
      <c r="AD156" s="1955"/>
      <c r="AE156" s="1955"/>
      <c r="AF156" s="1955"/>
      <c r="AG156" s="1955"/>
      <c r="AH156" s="1955"/>
      <c r="BT156" s="12" t="s">
        <v>318</v>
      </c>
    </row>
    <row r="157" spans="1:96" ht="13.2">
      <c r="D157" s="32" t="s">
        <v>325</v>
      </c>
      <c r="F157" s="32"/>
      <c r="G157" s="32"/>
      <c r="H157" s="32"/>
      <c r="I157" s="32"/>
      <c r="J157" s="32"/>
      <c r="K157" s="32"/>
      <c r="L157" s="32"/>
      <c r="M157" s="32"/>
      <c r="N157" s="32"/>
      <c r="O157" s="2073" t="s">
        <v>2539</v>
      </c>
      <c r="P157" s="2073"/>
      <c r="Q157" s="2073"/>
      <c r="R157" s="2073"/>
      <c r="S157" s="2073"/>
      <c r="T157" s="2073"/>
      <c r="U157" s="2073"/>
      <c r="V157" s="2073"/>
      <c r="W157" s="2073"/>
      <c r="X157" s="2073"/>
      <c r="Y157" s="14"/>
      <c r="Z157" s="14"/>
      <c r="AA157" s="14"/>
      <c r="AB157" s="14"/>
      <c r="AC157" s="14"/>
      <c r="AD157" s="14"/>
      <c r="AE157" s="14"/>
      <c r="AF157" s="14"/>
      <c r="BN157" s="36" t="s">
        <v>672</v>
      </c>
      <c r="BT157" s="12" t="s">
        <v>510</v>
      </c>
    </row>
    <row r="158" spans="1:96" ht="13.2">
      <c r="D158" s="32" t="s">
        <v>326</v>
      </c>
      <c r="F158" s="32"/>
      <c r="G158" s="32"/>
      <c r="H158" s="32"/>
      <c r="I158" s="32"/>
      <c r="J158" s="32"/>
      <c r="K158" s="32"/>
      <c r="L158" s="32"/>
      <c r="M158" s="32"/>
      <c r="N158" s="32"/>
      <c r="O158" s="2167">
        <v>95492</v>
      </c>
      <c r="P158" s="2167"/>
      <c r="Q158" s="2167"/>
      <c r="R158" s="2167"/>
      <c r="S158" s="15"/>
      <c r="T158" s="15"/>
      <c r="U158" s="15"/>
      <c r="V158" s="15"/>
      <c r="W158" s="15"/>
      <c r="X158" s="15"/>
      <c r="Y158" s="15"/>
      <c r="Z158" s="15"/>
      <c r="AA158" s="15"/>
      <c r="AB158" s="15"/>
      <c r="AC158" s="15"/>
      <c r="AD158" s="15"/>
      <c r="AE158" s="15"/>
      <c r="AF158" s="15"/>
      <c r="BN158" s="36" t="s">
        <v>673</v>
      </c>
      <c r="BT158" s="12" t="s">
        <v>511</v>
      </c>
    </row>
    <row r="159" spans="1:96" ht="13.2">
      <c r="D159" s="32" t="s">
        <v>327</v>
      </c>
      <c r="F159" s="32"/>
      <c r="G159" s="32"/>
      <c r="H159" s="32"/>
      <c r="I159" s="32"/>
      <c r="J159" s="32"/>
      <c r="K159" s="32"/>
      <c r="L159" s="32"/>
      <c r="M159" s="32"/>
      <c r="N159" s="32"/>
      <c r="O159" s="2148" t="s">
        <v>2540</v>
      </c>
      <c r="P159" s="2148"/>
      <c r="Q159" s="2148"/>
      <c r="R159" s="2148"/>
      <c r="S159" s="2148"/>
      <c r="T159" s="2148"/>
      <c r="V159" s="146" t="s">
        <v>279</v>
      </c>
      <c r="W159" s="2168"/>
      <c r="X159" s="2168"/>
      <c r="Y159" s="16"/>
      <c r="Z159" s="16"/>
      <c r="AA159" s="16"/>
      <c r="AB159" s="16"/>
      <c r="AC159" s="16"/>
      <c r="AD159" s="16"/>
      <c r="AE159" s="16"/>
      <c r="AF159" s="16"/>
      <c r="BN159" s="36" t="s">
        <v>351</v>
      </c>
      <c r="BT159" s="12" t="s">
        <v>512</v>
      </c>
    </row>
    <row r="160" spans="1:96" ht="13.2">
      <c r="D160" s="32" t="s">
        <v>328</v>
      </c>
      <c r="F160" s="32"/>
      <c r="G160" s="32"/>
      <c r="H160" s="32"/>
      <c r="I160" s="32"/>
      <c r="J160" s="32"/>
      <c r="K160" s="32"/>
      <c r="L160" s="32"/>
      <c r="M160" s="32"/>
      <c r="N160" s="32"/>
      <c r="O160" s="2148" t="s">
        <v>2541</v>
      </c>
      <c r="P160" s="2148"/>
      <c r="Q160" s="2148"/>
      <c r="R160" s="2148"/>
      <c r="S160" s="2148"/>
      <c r="T160" s="2148"/>
      <c r="U160" s="16"/>
      <c r="V160" s="16"/>
      <c r="W160" s="16"/>
      <c r="X160" s="16"/>
      <c r="Y160" s="16"/>
      <c r="Z160" s="16"/>
      <c r="AA160" s="16"/>
      <c r="AB160" s="16"/>
      <c r="AC160" s="16"/>
      <c r="AD160" s="16"/>
      <c r="AE160" s="16"/>
      <c r="AF160" s="16"/>
      <c r="BN160" s="36" t="s">
        <v>698</v>
      </c>
      <c r="BT160" s="12" t="s">
        <v>513</v>
      </c>
    </row>
    <row r="161" spans="1:72" ht="13.2">
      <c r="D161" s="32" t="s">
        <v>329</v>
      </c>
      <c r="F161" s="32"/>
      <c r="G161" s="32"/>
      <c r="H161" s="32"/>
      <c r="I161" s="32"/>
      <c r="J161" s="32"/>
      <c r="K161" s="32"/>
      <c r="L161" s="32"/>
      <c r="M161" s="32"/>
      <c r="N161" s="32"/>
      <c r="O161" s="2145" t="s">
        <v>2542</v>
      </c>
      <c r="P161" s="2145"/>
      <c r="Q161" s="2145"/>
      <c r="R161" s="2145"/>
      <c r="S161" s="2145"/>
      <c r="T161" s="2145"/>
      <c r="U161" s="2145"/>
      <c r="V161" s="2145"/>
      <c r="W161" s="2145"/>
      <c r="X161" s="2145"/>
      <c r="Y161" s="2145"/>
      <c r="Z161" s="2145"/>
      <c r="AA161" s="2145"/>
      <c r="AB161" s="2145"/>
      <c r="AC161" s="2145"/>
      <c r="AD161" s="2145"/>
      <c r="AE161" s="2145"/>
      <c r="AF161" s="2145"/>
      <c r="AG161" s="2145"/>
      <c r="AH161" s="2145"/>
      <c r="BJ161" s="12" t="s">
        <v>707</v>
      </c>
      <c r="BN161" s="36" t="s">
        <v>699</v>
      </c>
      <c r="BT161" s="12" t="s">
        <v>514</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2">
      <c r="C164" s="141"/>
      <c r="D164" s="2170" t="s">
        <v>1464</v>
      </c>
      <c r="E164" s="2170"/>
      <c r="F164" s="2170"/>
      <c r="G164" s="2170"/>
      <c r="H164" s="2170"/>
      <c r="I164" s="2170"/>
      <c r="J164" s="2170"/>
      <c r="K164" s="2170"/>
      <c r="L164" s="2170"/>
      <c r="M164" s="2170"/>
      <c r="N164" s="2170"/>
      <c r="O164" s="2170"/>
      <c r="P164" s="2170"/>
      <c r="Q164" s="2170"/>
      <c r="R164" s="2170"/>
      <c r="S164" s="2170"/>
      <c r="T164" s="2170"/>
      <c r="U164" s="2170"/>
      <c r="V164" s="2170"/>
      <c r="W164" s="2170"/>
      <c r="X164" s="2170"/>
      <c r="Y164" s="2170"/>
      <c r="Z164" s="2170"/>
      <c r="AA164" s="2170"/>
      <c r="AB164" s="2170"/>
      <c r="AC164" s="2170"/>
      <c r="AD164" s="2170"/>
      <c r="AE164" s="2170"/>
      <c r="AF164" s="2170"/>
      <c r="AG164" s="2170"/>
      <c r="AH164" s="2170"/>
      <c r="AI164" s="39"/>
      <c r="AJ164" s="39"/>
      <c r="AK164" s="39"/>
      <c r="AL164" s="39"/>
      <c r="BN164" s="36" t="s">
        <v>702</v>
      </c>
      <c r="BT164" s="12" t="s">
        <v>517</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2">
      <c r="A169" s="2123" t="s">
        <v>573</v>
      </c>
      <c r="B169" s="2123"/>
      <c r="C169" s="2123"/>
      <c r="D169" s="2123"/>
      <c r="E169" s="2123"/>
      <c r="F169" s="2123"/>
      <c r="G169" s="2123"/>
      <c r="H169" s="2123"/>
      <c r="I169" s="2123"/>
      <c r="J169" s="2123"/>
      <c r="K169" s="2123"/>
      <c r="L169" s="2123"/>
      <c r="M169" s="2123"/>
      <c r="N169" s="2123"/>
      <c r="O169" s="2123"/>
      <c r="P169" s="2123"/>
      <c r="Q169" s="2123"/>
      <c r="R169" s="2123"/>
      <c r="S169" s="2123"/>
      <c r="T169" s="2123"/>
      <c r="U169" s="2123"/>
      <c r="V169" s="2123"/>
      <c r="W169" s="2123"/>
      <c r="X169" s="2123"/>
      <c r="Y169" s="2123"/>
      <c r="Z169" s="2123"/>
      <c r="AA169" s="2123"/>
      <c r="AB169" s="2123"/>
      <c r="AC169" s="2123"/>
      <c r="AD169" s="2123"/>
      <c r="AE169" s="2123"/>
      <c r="AF169" s="2123"/>
      <c r="AG169" s="2123"/>
      <c r="AH169" s="2123"/>
      <c r="AI169" s="2123"/>
      <c r="AJ169" s="2123"/>
      <c r="AK169" s="2123"/>
      <c r="AL169" s="2123"/>
      <c r="AM169" s="144"/>
      <c r="AN169" s="144"/>
      <c r="AO169" s="144"/>
      <c r="AP169" s="144"/>
      <c r="AQ169" s="144"/>
      <c r="AR169" s="144"/>
      <c r="AS169" s="144"/>
      <c r="AT169" s="144"/>
      <c r="AU169" s="144"/>
      <c r="AV169" s="144"/>
      <c r="AW169" s="144"/>
      <c r="AX169" s="144"/>
      <c r="AY169" s="144"/>
      <c r="BN169" s="36" t="s">
        <v>711</v>
      </c>
      <c r="BT169" s="12" t="s">
        <v>522</v>
      </c>
    </row>
    <row r="170" spans="1:72" ht="13.8" thickBot="1">
      <c r="A170" s="2124"/>
      <c r="B170" s="2124"/>
      <c r="C170" s="2124"/>
      <c r="D170" s="2124"/>
      <c r="E170" s="2124"/>
      <c r="F170" s="2124"/>
      <c r="G170" s="2124"/>
      <c r="H170" s="2124"/>
      <c r="I170" s="2124"/>
      <c r="J170" s="2124"/>
      <c r="K170" s="2124"/>
      <c r="L170" s="2124"/>
      <c r="M170" s="2124"/>
      <c r="N170" s="2124"/>
      <c r="O170" s="2124"/>
      <c r="P170" s="2124"/>
      <c r="Q170" s="2124"/>
      <c r="R170" s="2124"/>
      <c r="S170" s="2124"/>
      <c r="T170" s="2124"/>
      <c r="U170" s="2124"/>
      <c r="V170" s="2124"/>
      <c r="W170" s="2124"/>
      <c r="X170" s="2124"/>
      <c r="Y170" s="2124"/>
      <c r="Z170" s="2124"/>
      <c r="AA170" s="2124"/>
      <c r="AB170" s="2124"/>
      <c r="AC170" s="2124"/>
      <c r="AD170" s="2124"/>
      <c r="AE170" s="2124"/>
      <c r="AF170" s="2124"/>
      <c r="AG170" s="2124"/>
      <c r="AH170" s="2124"/>
      <c r="AI170" s="2124"/>
      <c r="AJ170" s="2124"/>
      <c r="AK170" s="2124"/>
      <c r="AL170" s="2124"/>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3.2">
      <c r="A173" s="25"/>
      <c r="C173" s="38"/>
      <c r="D173" s="39" t="s">
        <v>332</v>
      </c>
      <c r="J173" s="2166" t="s">
        <v>391</v>
      </c>
      <c r="K173" s="2166"/>
      <c r="L173" s="2166"/>
      <c r="M173" s="2166"/>
      <c r="N173" s="2166"/>
      <c r="O173" s="2166"/>
      <c r="P173" s="2166"/>
      <c r="Q173" s="2166"/>
      <c r="R173" s="2166"/>
      <c r="S173" s="216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3.2">
      <c r="A174" s="25"/>
      <c r="C174" s="38"/>
      <c r="D174" s="58" t="s">
        <v>1416</v>
      </c>
      <c r="E174" s="25"/>
      <c r="F174" s="25"/>
      <c r="G174" s="25"/>
      <c r="H174" s="25"/>
      <c r="I174" s="25"/>
      <c r="J174" s="1955" t="s">
        <v>2464</v>
      </c>
      <c r="K174" s="1955"/>
      <c r="L174" s="1955"/>
      <c r="M174" s="1955"/>
      <c r="N174" s="1955"/>
      <c r="O174" s="1955"/>
      <c r="P174" s="1955"/>
      <c r="Q174" s="1955"/>
      <c r="R174" s="1955"/>
      <c r="S174" s="1955"/>
      <c r="T174" s="1955"/>
      <c r="U174" s="1955"/>
      <c r="V174" s="1955"/>
      <c r="W174" s="1955"/>
      <c r="X174" s="1955"/>
      <c r="Y174" s="1955"/>
      <c r="Z174" s="1955"/>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3.2">
      <c r="A175" s="25"/>
      <c r="C175" s="13"/>
      <c r="D175" s="58" t="s">
        <v>333</v>
      </c>
      <c r="F175" s="720"/>
      <c r="G175" s="720"/>
      <c r="H175" s="720"/>
      <c r="I175" s="720"/>
      <c r="J175" s="720"/>
      <c r="K175" s="720"/>
      <c r="L175" s="720"/>
      <c r="M175" s="720"/>
      <c r="N175" s="720"/>
      <c r="O175" s="42"/>
      <c r="Q175" s="25"/>
      <c r="R175" s="25"/>
      <c r="T175" s="720"/>
      <c r="U175" s="1961" t="s">
        <v>707</v>
      </c>
      <c r="V175" s="1961"/>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1944"/>
      <c r="V176" s="1944"/>
      <c r="W176" s="4" t="s">
        <v>317</v>
      </c>
      <c r="X176" s="2154"/>
      <c r="Y176" s="2154"/>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3.2">
      <c r="A177" s="25"/>
      <c r="B177" s="12"/>
      <c r="C177" s="43"/>
      <c r="D177" s="25" t="s">
        <v>257</v>
      </c>
      <c r="E177" s="12"/>
      <c r="F177" s="12"/>
      <c r="G177" s="12"/>
      <c r="H177" s="12"/>
      <c r="I177" s="12"/>
      <c r="J177" s="12"/>
      <c r="K177" s="12"/>
      <c r="L177" s="12"/>
      <c r="M177" s="25"/>
      <c r="N177" s="12"/>
      <c r="O177" s="12"/>
      <c r="P177" s="12"/>
      <c r="Q177" s="12"/>
      <c r="R177" s="1961" t="s">
        <v>707</v>
      </c>
      <c r="S177" s="1961"/>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3.2">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380"/>
      <c r="AG178" s="2380"/>
      <c r="AH178" s="4" t="s">
        <v>317</v>
      </c>
      <c r="AI178" s="2135"/>
      <c r="AJ178" s="2135"/>
      <c r="AK178" s="2135"/>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466</v>
      </c>
      <c r="E180" s="25"/>
      <c r="X180" s="1961" t="s">
        <v>707</v>
      </c>
      <c r="Y180" s="1961"/>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614</v>
      </c>
      <c r="E184" s="25"/>
      <c r="F184" s="25"/>
      <c r="G184" s="25"/>
      <c r="H184" s="25"/>
      <c r="I184" s="2072" t="str">
        <f>H18</f>
        <v>Windsor Residences</v>
      </c>
      <c r="J184" s="2072"/>
      <c r="K184" s="2072"/>
      <c r="L184" s="2072"/>
      <c r="M184" s="2072"/>
      <c r="N184" s="2072"/>
      <c r="O184" s="2072"/>
      <c r="P184" s="2072"/>
      <c r="Q184" s="2072"/>
      <c r="R184" s="2072"/>
      <c r="S184" s="2072"/>
      <c r="T184" s="2072"/>
      <c r="U184" s="2072"/>
      <c r="V184" s="2072"/>
      <c r="W184" s="2072"/>
      <c r="X184" s="2072"/>
      <c r="Y184" s="2072"/>
      <c r="Z184" s="2072"/>
      <c r="AA184" s="2072"/>
      <c r="AB184" s="2072"/>
      <c r="AC184" s="2072"/>
      <c r="AD184" s="2072"/>
      <c r="AE184" s="2072"/>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3.2">
      <c r="A185" s="25"/>
      <c r="C185" s="45"/>
      <c r="D185" s="25" t="s">
        <v>615</v>
      </c>
      <c r="E185" s="25"/>
      <c r="F185" s="25"/>
      <c r="G185" s="25"/>
      <c r="H185" s="25"/>
      <c r="I185" s="1959" t="s">
        <v>2580</v>
      </c>
      <c r="J185" s="1960"/>
      <c r="K185" s="1960"/>
      <c r="L185" s="1960"/>
      <c r="M185" s="1960"/>
      <c r="N185" s="1960"/>
      <c r="O185" s="1960"/>
      <c r="P185" s="1960"/>
      <c r="Q185" s="1960"/>
      <c r="R185" s="1960"/>
      <c r="S185" s="1960"/>
      <c r="T185" s="1960"/>
      <c r="U185" s="1960"/>
      <c r="V185" s="1960"/>
      <c r="W185" s="1960"/>
      <c r="X185" s="1960"/>
      <c r="Y185" s="1960"/>
      <c r="Z185" s="1960"/>
      <c r="AA185" s="1960"/>
      <c r="AB185" s="1960"/>
      <c r="AC185" s="1960"/>
      <c r="AD185" s="1960"/>
      <c r="AE185" s="1960"/>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045"/>
      <c r="F187" s="2045"/>
      <c r="G187" s="2045"/>
      <c r="H187" s="2045"/>
      <c r="I187" s="2045"/>
      <c r="J187" s="2045"/>
      <c r="K187" s="2045"/>
      <c r="L187" s="2045"/>
      <c r="M187" s="2045"/>
      <c r="N187" s="2045"/>
      <c r="O187" s="2045"/>
      <c r="P187" s="2045"/>
      <c r="Q187" s="2045"/>
      <c r="R187" s="2045"/>
      <c r="S187" s="2045"/>
      <c r="T187" s="2045"/>
      <c r="U187" s="2045"/>
      <c r="V187" s="2045"/>
      <c r="W187" s="2045"/>
      <c r="X187" s="2045"/>
      <c r="Y187" s="2045"/>
      <c r="Z187" s="2045"/>
      <c r="AA187" s="2045"/>
      <c r="AB187" s="2045"/>
      <c r="AC187" s="2045"/>
      <c r="AD187" s="2045"/>
      <c r="AE187" s="2045"/>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046"/>
      <c r="F188" s="2046"/>
      <c r="G188" s="2046"/>
      <c r="H188" s="2046"/>
      <c r="I188" s="2046"/>
      <c r="J188" s="2046"/>
      <c r="K188" s="2046"/>
      <c r="L188" s="2046"/>
      <c r="M188" s="2046"/>
      <c r="N188" s="2046"/>
      <c r="O188" s="2046"/>
      <c r="P188" s="2046"/>
      <c r="Q188" s="2046"/>
      <c r="R188" s="2046"/>
      <c r="S188" s="2046"/>
      <c r="T188" s="2046"/>
      <c r="U188" s="2046"/>
      <c r="V188" s="2046"/>
      <c r="W188" s="2046"/>
      <c r="X188" s="2046"/>
      <c r="Y188" s="2046"/>
      <c r="Z188" s="2046"/>
      <c r="AA188" s="2046"/>
      <c r="AB188" s="2046"/>
      <c r="AC188" s="2046"/>
      <c r="AD188" s="2046"/>
      <c r="AE188" s="2046"/>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616</v>
      </c>
      <c r="E189" s="25"/>
      <c r="I189" s="2073" t="s">
        <v>2531</v>
      </c>
      <c r="J189" s="1955"/>
      <c r="K189" s="1955"/>
      <c r="L189" s="1955"/>
      <c r="M189" s="1955"/>
      <c r="N189" s="1955"/>
      <c r="O189" s="1955"/>
      <c r="P189" s="1955"/>
      <c r="Q189" s="25" t="s">
        <v>618</v>
      </c>
      <c r="T189" s="1955" t="s">
        <v>179</v>
      </c>
      <c r="U189" s="1955"/>
      <c r="V189" s="1955"/>
      <c r="W189" s="1955"/>
      <c r="X189" s="1955"/>
      <c r="Y189" s="1955"/>
      <c r="Z189" s="1955"/>
      <c r="AA189" s="1955"/>
      <c r="AB189" s="1955"/>
      <c r="AC189" s="1955"/>
      <c r="AD189" s="1955"/>
      <c r="AE189" s="1955"/>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3.2">
      <c r="A190" s="25"/>
      <c r="C190" s="46"/>
      <c r="D190" s="25" t="s">
        <v>619</v>
      </c>
      <c r="E190" s="25"/>
      <c r="F190" s="25"/>
      <c r="G190" s="25"/>
      <c r="I190" s="1960">
        <v>95492</v>
      </c>
      <c r="J190" s="1960"/>
      <c r="K190" s="1960"/>
      <c r="L190" s="1960"/>
      <c r="M190" s="1960"/>
      <c r="N190" s="1960"/>
      <c r="O190" s="25" t="s">
        <v>621</v>
      </c>
      <c r="P190" s="25"/>
      <c r="Q190" s="25"/>
      <c r="R190" s="25"/>
      <c r="S190" s="25"/>
      <c r="T190" s="2151">
        <v>1538.09</v>
      </c>
      <c r="U190" s="2151"/>
      <c r="V190" s="2151"/>
      <c r="W190" s="2151"/>
      <c r="X190" s="2151"/>
      <c r="Y190" s="2151"/>
      <c r="Z190" s="2151"/>
      <c r="AA190" s="2151"/>
      <c r="AB190" s="2151"/>
      <c r="AC190" s="2151"/>
      <c r="AD190" s="2151"/>
      <c r="AE190" s="2151"/>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3.2">
      <c r="A191" s="25"/>
      <c r="C191" s="46"/>
      <c r="D191" s="25" t="s">
        <v>496</v>
      </c>
      <c r="E191" s="25"/>
      <c r="F191" s="25"/>
      <c r="G191" s="25"/>
      <c r="H191" s="25"/>
      <c r="I191" s="25"/>
      <c r="J191" s="25"/>
      <c r="K191" s="25"/>
      <c r="L191" s="25"/>
      <c r="M191" s="25"/>
      <c r="N191" s="2165" t="s">
        <v>2568</v>
      </c>
      <c r="O191" s="2045"/>
      <c r="P191" s="2045"/>
      <c r="Q191" s="2045"/>
      <c r="R191" s="2045"/>
      <c r="S191" s="2045"/>
      <c r="T191" s="2045"/>
      <c r="U191" s="2045"/>
      <c r="V191" s="2045"/>
      <c r="W191" s="2045"/>
      <c r="X191" s="2045"/>
      <c r="Y191" s="2045"/>
      <c r="Z191" s="2045"/>
      <c r="AA191" s="2045"/>
      <c r="AB191" s="2045"/>
      <c r="AC191" s="2045"/>
      <c r="AD191" s="2045"/>
      <c r="AE191" s="2045"/>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3.2">
      <c r="A192" s="25"/>
      <c r="C192" s="46"/>
      <c r="D192" s="25"/>
      <c r="E192" s="25"/>
      <c r="F192" s="25"/>
      <c r="G192" s="25"/>
      <c r="H192" s="25"/>
      <c r="I192" s="25"/>
      <c r="J192" s="25"/>
      <c r="K192" s="25"/>
      <c r="L192" s="25"/>
      <c r="M192" s="170"/>
      <c r="N192" s="2046"/>
      <c r="O192" s="2046"/>
      <c r="P192" s="2046"/>
      <c r="Q192" s="2046"/>
      <c r="R192" s="2046"/>
      <c r="S192" s="2046"/>
      <c r="T192" s="2046"/>
      <c r="U192" s="2046"/>
      <c r="V192" s="2046"/>
      <c r="W192" s="2046"/>
      <c r="X192" s="2046"/>
      <c r="Y192" s="2046"/>
      <c r="Z192" s="2046"/>
      <c r="AA192" s="2046"/>
      <c r="AB192" s="2046"/>
      <c r="AC192" s="2046"/>
      <c r="AD192" s="2046"/>
      <c r="AE192" s="2046"/>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3.2">
      <c r="A193" s="25"/>
      <c r="B193" s="720"/>
      <c r="C193" s="46"/>
      <c r="D193" s="688" t="s">
        <v>2029</v>
      </c>
      <c r="E193" s="25"/>
      <c r="F193" s="25"/>
      <c r="G193" s="25"/>
      <c r="H193" s="25"/>
      <c r="I193" s="25"/>
      <c r="J193" s="25"/>
      <c r="K193" s="25"/>
      <c r="L193" s="25"/>
      <c r="M193" s="170"/>
      <c r="N193" s="1520"/>
      <c r="O193" s="1520"/>
      <c r="P193" s="1520"/>
      <c r="Q193" s="1520"/>
      <c r="R193" s="1520"/>
      <c r="S193" s="1520"/>
      <c r="T193" s="2156" t="s">
        <v>2571</v>
      </c>
      <c r="U193" s="2156"/>
      <c r="V193" s="2156"/>
      <c r="W193" s="2156"/>
      <c r="X193" s="2156"/>
      <c r="Y193" s="2156"/>
      <c r="Z193" s="2156"/>
      <c r="AA193" s="2156"/>
      <c r="AB193" s="2156"/>
      <c r="AC193" s="2156"/>
      <c r="AD193" s="2156"/>
      <c r="AE193" s="2156"/>
      <c r="AF193" s="2156"/>
      <c r="AG193" s="2156"/>
      <c r="AH193" s="2156"/>
      <c r="AI193" s="2156"/>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3.2">
      <c r="A194" s="25"/>
      <c r="C194" s="46"/>
      <c r="D194" s="25" t="s">
        <v>342</v>
      </c>
      <c r="E194" s="25"/>
      <c r="F194" s="25"/>
      <c r="G194" s="25"/>
      <c r="H194" s="25"/>
      <c r="I194" s="25"/>
      <c r="J194" s="25"/>
      <c r="K194" s="25"/>
      <c r="L194" s="25"/>
      <c r="M194" s="25"/>
      <c r="N194" s="25"/>
      <c r="O194" s="25"/>
      <c r="P194" s="25"/>
      <c r="Q194" s="25"/>
      <c r="R194" s="25"/>
      <c r="T194" s="1961" t="s">
        <v>579</v>
      </c>
      <c r="U194" s="1961"/>
      <c r="W194" s="25" t="s">
        <v>723</v>
      </c>
      <c r="X194" s="25"/>
      <c r="Y194" s="25"/>
      <c r="Z194" s="25"/>
      <c r="AA194" s="25"/>
      <c r="AB194" s="25"/>
      <c r="AC194" s="25"/>
      <c r="AD194" s="25"/>
      <c r="AE194" s="25"/>
      <c r="AF194" s="25"/>
      <c r="AG194" s="25"/>
      <c r="AH194" s="1961">
        <v>2</v>
      </c>
      <c r="AI194" s="1961"/>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1949" t="s">
        <v>707</v>
      </c>
      <c r="U195" s="1949"/>
      <c r="V195" s="12"/>
      <c r="W195" s="25" t="s">
        <v>724</v>
      </c>
      <c r="X195" s="25"/>
      <c r="Y195" s="25"/>
      <c r="Z195" s="25"/>
      <c r="AA195" s="25"/>
      <c r="AB195" s="25"/>
      <c r="AC195" s="25"/>
      <c r="AD195" s="25"/>
      <c r="AE195" s="25"/>
      <c r="AF195" s="25"/>
      <c r="AG195" s="25"/>
      <c r="AH195" s="1961">
        <v>2</v>
      </c>
      <c r="AI195" s="1961"/>
      <c r="AJ195" s="3"/>
      <c r="AK195" s="3"/>
      <c r="AL195" s="3"/>
      <c r="AM195" s="682"/>
      <c r="AN195" s="682"/>
      <c r="AO195" s="682"/>
      <c r="AP195" s="682"/>
      <c r="AQ195" s="682"/>
      <c r="AR195" s="682"/>
      <c r="AS195" s="682"/>
      <c r="AT195" s="682"/>
      <c r="AU195" s="682"/>
      <c r="AV195" s="682"/>
      <c r="AW195" s="682"/>
      <c r="AX195" s="682"/>
      <c r="AY195" s="682"/>
      <c r="BC195" s="720" t="s">
        <v>2448</v>
      </c>
      <c r="BN195" s="36" t="s">
        <v>249</v>
      </c>
      <c r="BT195" s="12" t="s">
        <v>775</v>
      </c>
      <c r="CR195" s="25"/>
    </row>
    <row r="196" spans="1:96" ht="13.2">
      <c r="A196" s="25"/>
      <c r="C196" s="46"/>
      <c r="D196" s="177" t="s">
        <v>174</v>
      </c>
      <c r="E196" s="25"/>
      <c r="F196" s="25"/>
      <c r="G196" s="25"/>
      <c r="H196" s="25"/>
      <c r="I196" s="25"/>
      <c r="J196" s="25"/>
      <c r="K196" s="25"/>
      <c r="L196" s="25"/>
      <c r="M196" s="25"/>
      <c r="N196" s="25"/>
      <c r="O196" s="25"/>
      <c r="P196" s="25"/>
      <c r="Q196" s="25"/>
      <c r="R196" s="25"/>
      <c r="T196" s="1949" t="s">
        <v>707</v>
      </c>
      <c r="U196" s="1949"/>
      <c r="W196" s="25" t="s">
        <v>725</v>
      </c>
      <c r="X196" s="25"/>
      <c r="Y196" s="25"/>
      <c r="Z196" s="25"/>
      <c r="AA196" s="25"/>
      <c r="AB196" s="25"/>
      <c r="AC196" s="25"/>
      <c r="AD196" s="25"/>
      <c r="AE196" s="25"/>
      <c r="AF196" s="25"/>
      <c r="AG196" s="25"/>
      <c r="AH196" s="1961">
        <v>2</v>
      </c>
      <c r="AI196" s="1961"/>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1949"/>
      <c r="U197" s="194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1961" t="s">
        <v>579</v>
      </c>
      <c r="Z198" s="1961"/>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72" t="s">
        <v>405</v>
      </c>
      <c r="E203" s="2072"/>
      <c r="F203" s="2072"/>
      <c r="G203" s="2072"/>
      <c r="H203" s="2072"/>
      <c r="I203" s="2072"/>
      <c r="J203" s="2072"/>
      <c r="K203" s="2072"/>
      <c r="L203" s="2072"/>
      <c r="M203" s="2072"/>
      <c r="P203" s="2172">
        <f>M26</f>
        <v>2986627</v>
      </c>
      <c r="Q203" s="2169"/>
      <c r="R203" s="2169"/>
      <c r="S203" s="2169"/>
      <c r="T203" s="2169"/>
      <c r="U203" s="2169"/>
      <c r="V203" s="25"/>
      <c r="W203" s="25"/>
      <c r="X203" s="25"/>
      <c r="Y203" s="25"/>
      <c r="Z203" s="2159" t="s">
        <v>2523</v>
      </c>
      <c r="AA203" s="2159"/>
      <c r="AB203" s="2159"/>
      <c r="AC203" s="2159"/>
      <c r="AD203" s="2159"/>
      <c r="AE203" s="2159"/>
      <c r="AF203" s="215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157" t="s">
        <v>1486</v>
      </c>
      <c r="E204" s="2072"/>
      <c r="F204" s="2072"/>
      <c r="G204" s="2072"/>
      <c r="H204" s="2072"/>
      <c r="I204" s="2072"/>
      <c r="J204" s="2072"/>
      <c r="K204" s="2072"/>
      <c r="L204" s="2072"/>
      <c r="M204" s="2072"/>
      <c r="P204" s="2169">
        <f>M27</f>
        <v>8336284</v>
      </c>
      <c r="Q204" s="2169"/>
      <c r="R204" s="2169"/>
      <c r="S204" s="2169"/>
      <c r="T204" s="2169"/>
      <c r="U204" s="2169"/>
      <c r="V204" s="47"/>
      <c r="W204" s="58" t="s">
        <v>2232</v>
      </c>
      <c r="Z204" s="2159"/>
      <c r="AA204" s="2159"/>
      <c r="AB204" s="2159"/>
      <c r="AC204" s="2159"/>
      <c r="AD204" s="2159"/>
      <c r="AE204" s="2159"/>
      <c r="AF204" s="2159"/>
      <c r="AG204" s="25" t="s">
        <v>1487</v>
      </c>
      <c r="AH204" s="25"/>
      <c r="AI204" s="25"/>
      <c r="AJ204" s="25"/>
      <c r="AK204" s="25"/>
      <c r="AL204" s="25"/>
      <c r="AM204" s="25"/>
      <c r="AN204" s="25"/>
      <c r="AO204" s="25"/>
      <c r="AP204" s="1961" t="s">
        <v>707</v>
      </c>
      <c r="AQ204" s="1961"/>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60"/>
      <c r="AA205" s="2160"/>
      <c r="AB205" s="2160"/>
      <c r="AC205" s="2160"/>
      <c r="AD205" s="2160"/>
      <c r="AE205" s="2160"/>
      <c r="AF205" s="2160"/>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3.2">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3.2">
      <c r="A207" s="25"/>
      <c r="C207" s="45"/>
      <c r="D207" s="2028" t="s">
        <v>2595</v>
      </c>
      <c r="E207" s="2028"/>
      <c r="F207" s="2028"/>
      <c r="G207" s="2028"/>
      <c r="H207" s="2028"/>
      <c r="I207" s="2028"/>
      <c r="J207" s="2028"/>
      <c r="K207" s="2028"/>
      <c r="L207" s="2028"/>
      <c r="M207" s="202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3.2">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3.2">
      <c r="C210" s="45"/>
      <c r="D210" s="2028" t="s">
        <v>1158</v>
      </c>
      <c r="E210" s="2028"/>
      <c r="F210" s="2028"/>
      <c r="G210" s="2028"/>
      <c r="H210" s="2028"/>
      <c r="I210" s="2028"/>
      <c r="J210" s="2028"/>
      <c r="K210" s="2028"/>
      <c r="L210" s="2028"/>
      <c r="M210" s="202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1961"/>
      <c r="Z211" s="1961"/>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017" t="s">
        <v>627</v>
      </c>
      <c r="E213" s="2017"/>
      <c r="F213" s="2017"/>
      <c r="G213" s="2017"/>
      <c r="H213" s="2017"/>
      <c r="I213" s="2017"/>
      <c r="J213" s="2017"/>
      <c r="K213" s="2017"/>
      <c r="L213" s="2017"/>
      <c r="M213" s="2017"/>
      <c r="N213" s="2017"/>
      <c r="O213" s="2017"/>
      <c r="P213" s="2017"/>
      <c r="Q213" s="2017"/>
      <c r="R213" s="2017"/>
      <c r="S213" s="2017"/>
      <c r="T213" s="2017"/>
      <c r="U213" s="2017"/>
      <c r="V213" s="2017"/>
      <c r="W213" s="2017"/>
      <c r="X213" s="2017"/>
      <c r="Y213" s="2017"/>
      <c r="Z213" s="2017"/>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3.2">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16"/>
      <c r="AC214" s="2016"/>
      <c r="AD214" s="2016"/>
      <c r="AE214" s="2016"/>
      <c r="AF214" s="2016"/>
      <c r="AG214" s="2016"/>
      <c r="AH214" s="2016"/>
      <c r="AI214" s="2016"/>
      <c r="AJ214" s="2016"/>
      <c r="AK214" s="2016"/>
      <c r="AL214" s="2016"/>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016"/>
      <c r="AC215" s="2016"/>
      <c r="AD215" s="2016"/>
      <c r="AE215" s="2016"/>
      <c r="AF215" s="2016"/>
      <c r="AG215" s="2016"/>
      <c r="AH215" s="2016"/>
      <c r="AI215" s="2016"/>
      <c r="AJ215" s="2016"/>
      <c r="AK215" s="2016"/>
      <c r="AL215" s="2016"/>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3.2">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3.2">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028" t="s">
        <v>1187</v>
      </c>
      <c r="E219" s="2028"/>
      <c r="F219" s="2028"/>
      <c r="G219" s="2028"/>
      <c r="H219" s="2028"/>
      <c r="I219" s="2028"/>
      <c r="J219" s="2028"/>
      <c r="K219" s="2028"/>
      <c r="L219" s="2028"/>
      <c r="M219" s="2028"/>
      <c r="N219" s="2028"/>
      <c r="O219" s="2028"/>
      <c r="P219" s="2028"/>
      <c r="Q219" s="2028"/>
      <c r="R219" s="2028"/>
      <c r="S219" s="2028"/>
      <c r="T219" s="2028"/>
      <c r="U219" s="2028"/>
      <c r="V219" s="2028"/>
      <c r="W219" s="2028"/>
      <c r="X219" s="2028"/>
      <c r="Y219" s="2028"/>
      <c r="Z219" s="202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123" t="s">
        <v>574</v>
      </c>
      <c r="B221" s="2123"/>
      <c r="C221" s="2123"/>
      <c r="D221" s="2123"/>
      <c r="E221" s="2123"/>
      <c r="F221" s="2123"/>
      <c r="G221" s="2123"/>
      <c r="H221" s="2123"/>
      <c r="I221" s="2123"/>
      <c r="J221" s="2123"/>
      <c r="K221" s="2123"/>
      <c r="L221" s="2123"/>
      <c r="M221" s="2123"/>
      <c r="N221" s="2123"/>
      <c r="O221" s="2123"/>
      <c r="P221" s="2123"/>
      <c r="Q221" s="2123"/>
      <c r="R221" s="2123"/>
      <c r="S221" s="2123"/>
      <c r="T221" s="2123"/>
      <c r="U221" s="2123"/>
      <c r="V221" s="2123"/>
      <c r="W221" s="2123"/>
      <c r="X221" s="2123"/>
      <c r="Y221" s="2123"/>
      <c r="Z221" s="2123"/>
      <c r="AA221" s="2123"/>
      <c r="AB221" s="2123"/>
      <c r="AC221" s="2123"/>
      <c r="AD221" s="2123"/>
      <c r="AE221" s="2123"/>
      <c r="AF221" s="2123"/>
      <c r="AG221" s="2123"/>
      <c r="AH221" s="2123"/>
      <c r="AI221" s="2123"/>
      <c r="AJ221" s="2123"/>
      <c r="AK221" s="2123"/>
      <c r="AL221" s="2123"/>
      <c r="AM221" s="144"/>
      <c r="AN221" s="144"/>
      <c r="AO221" s="144"/>
      <c r="AP221" s="144"/>
      <c r="AQ221" s="144"/>
      <c r="AR221" s="144"/>
      <c r="AS221" s="144"/>
      <c r="AT221" s="144"/>
      <c r="AU221" s="144"/>
      <c r="AV221" s="144"/>
      <c r="AW221" s="144"/>
      <c r="AX221" s="144"/>
      <c r="AY221" s="144"/>
      <c r="BA221" s="58"/>
    </row>
    <row r="222" spans="1:96" ht="13.8" thickBot="1">
      <c r="A222" s="2124"/>
      <c r="B222" s="2124"/>
      <c r="C222" s="2124"/>
      <c r="D222" s="2124"/>
      <c r="E222" s="2124"/>
      <c r="F222" s="2124"/>
      <c r="G222" s="2124"/>
      <c r="H222" s="2124"/>
      <c r="I222" s="2124"/>
      <c r="J222" s="2124"/>
      <c r="K222" s="2124"/>
      <c r="L222" s="2124"/>
      <c r="M222" s="2124"/>
      <c r="N222" s="2124"/>
      <c r="O222" s="2124"/>
      <c r="P222" s="2124"/>
      <c r="Q222" s="2124"/>
      <c r="R222" s="2124"/>
      <c r="S222" s="2124"/>
      <c r="T222" s="2124"/>
      <c r="U222" s="2124"/>
      <c r="V222" s="2124"/>
      <c r="W222" s="2124"/>
      <c r="X222" s="2124"/>
      <c r="Y222" s="2124"/>
      <c r="Z222" s="2124"/>
      <c r="AA222" s="2124"/>
      <c r="AB222" s="2124"/>
      <c r="AC222" s="2124"/>
      <c r="AD222" s="2124"/>
      <c r="AE222" s="2124"/>
      <c r="AF222" s="2124"/>
      <c r="AG222" s="2124"/>
      <c r="AH222" s="2124"/>
      <c r="AI222" s="2124"/>
      <c r="AJ222" s="2124"/>
      <c r="AK222" s="2124"/>
      <c r="AL222" s="2124"/>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61" t="s">
        <v>627</v>
      </c>
      <c r="AJ225" s="1961"/>
      <c r="AL225" s="58"/>
      <c r="AM225" s="239"/>
      <c r="AN225" s="239"/>
      <c r="AO225" s="239"/>
      <c r="AP225" s="239"/>
      <c r="AQ225" s="239"/>
      <c r="AR225" s="239"/>
      <c r="AS225" s="239"/>
      <c r="AT225" s="239"/>
      <c r="AU225" s="239"/>
      <c r="AV225" s="239"/>
      <c r="AW225" s="239"/>
      <c r="AX225" s="239"/>
      <c r="AY225" s="239"/>
      <c r="BO225" s="61"/>
    </row>
    <row r="226" spans="1:69" ht="13.2">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61" t="s">
        <v>627</v>
      </c>
      <c r="AJ226" s="1961"/>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61" t="s">
        <v>627</v>
      </c>
      <c r="AJ227" s="1961"/>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61" t="s">
        <v>627</v>
      </c>
      <c r="AJ228" s="1961"/>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3.2">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3.2">
      <c r="D231" s="57" t="s">
        <v>504</v>
      </c>
      <c r="E231" s="57"/>
      <c r="F231" s="57"/>
      <c r="G231" s="57"/>
      <c r="H231" s="57"/>
      <c r="I231" s="57"/>
      <c r="J231" s="57"/>
      <c r="K231" s="7"/>
      <c r="M231" s="2147" t="str">
        <f>H16</f>
        <v>CRP Windsor Residences LP (to be formed)</v>
      </c>
      <c r="N231" s="2147"/>
      <c r="O231" s="2147"/>
      <c r="P231" s="2147"/>
      <c r="Q231" s="2147"/>
      <c r="R231" s="2147"/>
      <c r="S231" s="2147"/>
      <c r="T231" s="2147"/>
      <c r="U231" s="2147"/>
      <c r="V231" s="2147"/>
      <c r="W231" s="2147"/>
      <c r="X231" s="2147"/>
      <c r="Y231" s="2147"/>
      <c r="Z231" s="2147"/>
      <c r="AA231" s="2147"/>
      <c r="AB231" s="2147"/>
      <c r="AC231" s="2147"/>
      <c r="AD231" s="2147"/>
      <c r="AE231" s="2147"/>
      <c r="AF231" s="2147"/>
      <c r="AG231" s="2147"/>
      <c r="AH231" s="2147"/>
      <c r="AI231" s="2147"/>
      <c r="AJ231" s="2147"/>
      <c r="AK231" s="2147"/>
      <c r="BA231" s="58"/>
      <c r="BB231" s="385"/>
      <c r="BG231" s="388"/>
      <c r="BQ231" s="61"/>
    </row>
    <row r="232" spans="1:69" ht="13.2">
      <c r="D232" s="57" t="s">
        <v>90</v>
      </c>
      <c r="E232" s="57"/>
      <c r="F232" s="57"/>
      <c r="G232" s="57"/>
      <c r="H232" s="57"/>
      <c r="I232" s="57"/>
      <c r="J232" s="57"/>
      <c r="K232" s="7"/>
      <c r="M232" s="2073" t="s">
        <v>2465</v>
      </c>
      <c r="N232" s="2073"/>
      <c r="O232" s="2073"/>
      <c r="P232" s="2073"/>
      <c r="Q232" s="2073"/>
      <c r="R232" s="2073"/>
      <c r="S232" s="2073"/>
      <c r="T232" s="2073"/>
      <c r="U232" s="2073"/>
      <c r="V232" s="2073"/>
      <c r="W232" s="2073"/>
      <c r="X232" s="2073"/>
      <c r="Y232" s="2073"/>
      <c r="Z232" s="2073"/>
      <c r="AA232" s="2073"/>
      <c r="AB232" s="2073"/>
      <c r="AC232" s="2073"/>
      <c r="AD232" s="2073"/>
      <c r="AE232" s="2073"/>
      <c r="AZ232" s="7"/>
      <c r="BA232" s="58"/>
      <c r="BB232" s="335" t="s">
        <v>572</v>
      </c>
      <c r="BG232" s="390">
        <f>IF(AND(AND($M$248="nonprofit",$M$256="nonprofit",$M$264="for profit")),2,0)</f>
        <v>0</v>
      </c>
      <c r="BQ232" s="61"/>
    </row>
    <row r="233" spans="1:69" ht="13.2">
      <c r="D233" s="57" t="s">
        <v>616</v>
      </c>
      <c r="E233" s="57"/>
      <c r="M233" s="2073" t="s">
        <v>773</v>
      </c>
      <c r="N233" s="2073"/>
      <c r="O233" s="2073"/>
      <c r="P233" s="2073"/>
      <c r="Q233" s="2073"/>
      <c r="R233" s="2073"/>
      <c r="S233" s="2073"/>
      <c r="T233" s="2073"/>
      <c r="V233" s="59" t="s">
        <v>91</v>
      </c>
      <c r="W233" s="1959" t="s">
        <v>2466</v>
      </c>
      <c r="X233" s="1959"/>
      <c r="Y233" s="57" t="s">
        <v>619</v>
      </c>
      <c r="AC233" s="2073">
        <v>92117</v>
      </c>
      <c r="AD233" s="2073"/>
      <c r="AE233" s="2073"/>
      <c r="BB233" s="335" t="s">
        <v>572</v>
      </c>
      <c r="BG233" s="390">
        <f>IF(AND(AND($M$248="nonprofit",$M$256="for profit",$M$264="nonprofit")),2,0)</f>
        <v>0</v>
      </c>
    </row>
    <row r="234" spans="1:69" ht="13.2">
      <c r="D234" s="60" t="s">
        <v>92</v>
      </c>
      <c r="E234" s="7"/>
      <c r="F234" s="7"/>
      <c r="G234" s="7"/>
      <c r="H234" s="7"/>
      <c r="I234" s="7"/>
      <c r="J234" s="7"/>
      <c r="K234" s="29"/>
      <c r="M234" s="2073" t="s">
        <v>2468</v>
      </c>
      <c r="N234" s="2073"/>
      <c r="O234" s="2073"/>
      <c r="P234" s="2073"/>
      <c r="Q234" s="2073"/>
      <c r="R234" s="2073"/>
      <c r="S234" s="2073"/>
      <c r="T234" s="2073"/>
      <c r="U234" s="2073"/>
      <c r="V234" s="2073"/>
      <c r="W234" s="2073"/>
      <c r="X234" s="2073"/>
      <c r="Y234" s="2073"/>
      <c r="Z234" s="2073"/>
      <c r="AA234" s="2073"/>
      <c r="AB234" s="2073"/>
      <c r="AC234" s="2073"/>
      <c r="AD234" s="2073"/>
      <c r="AE234" s="2073"/>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2">
      <c r="D235" s="60" t="s">
        <v>93</v>
      </c>
      <c r="E235" s="7"/>
      <c r="F235" s="7"/>
      <c r="M235" s="1954" t="s">
        <v>2469</v>
      </c>
      <c r="N235" s="1954"/>
      <c r="O235" s="1954"/>
      <c r="P235" s="1954"/>
      <c r="Q235" s="1954"/>
      <c r="R235" s="1954"/>
      <c r="S235" s="7" t="s">
        <v>212</v>
      </c>
      <c r="T235" s="7"/>
      <c r="U235" s="2027"/>
      <c r="V235" s="2027"/>
      <c r="W235" s="2027"/>
      <c r="X235" s="7" t="s">
        <v>94</v>
      </c>
      <c r="Z235" s="2022"/>
      <c r="AA235" s="2022"/>
      <c r="AB235" s="2022"/>
      <c r="AC235" s="2022"/>
      <c r="AD235" s="2022"/>
      <c r="AE235" s="2022"/>
      <c r="BB235" s="386"/>
      <c r="BG235" s="387"/>
    </row>
    <row r="236" spans="1:69" ht="13.2">
      <c r="D236" s="60" t="s">
        <v>95</v>
      </c>
      <c r="E236" s="7"/>
      <c r="F236" s="7"/>
      <c r="M236" s="2145" t="s">
        <v>2470</v>
      </c>
      <c r="N236" s="2145"/>
      <c r="O236" s="2145"/>
      <c r="P236" s="2145"/>
      <c r="Q236" s="2145"/>
      <c r="R236" s="2145"/>
      <c r="S236" s="2145"/>
      <c r="T236" s="2145"/>
      <c r="U236" s="2145"/>
      <c r="V236" s="2145"/>
      <c r="W236" s="2145"/>
      <c r="X236" s="2145"/>
      <c r="Y236" s="2145"/>
      <c r="Z236" s="2145"/>
      <c r="AA236" s="2145"/>
      <c r="AB236" s="2145"/>
      <c r="AC236" s="2145"/>
      <c r="AD236" s="2145"/>
      <c r="AE236" s="214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2">
      <c r="A237" s="50" t="s">
        <v>622</v>
      </c>
      <c r="C237" s="37" t="s">
        <v>559</v>
      </c>
      <c r="M237" s="1960" t="s">
        <v>562</v>
      </c>
      <c r="N237" s="1960"/>
      <c r="O237" s="1960"/>
      <c r="P237" s="1960"/>
      <c r="Q237" s="1960"/>
      <c r="R237" s="1960"/>
      <c r="S237" s="1960"/>
      <c r="T237" s="1960"/>
      <c r="U237" s="388" t="s">
        <v>978</v>
      </c>
      <c r="V237" s="326"/>
      <c r="W237" s="326"/>
      <c r="X237" s="326"/>
      <c r="Y237" s="326"/>
      <c r="Z237" s="326"/>
      <c r="AA237" s="2150"/>
      <c r="AB237" s="2150"/>
      <c r="AC237" s="2150"/>
      <c r="AD237" s="2150"/>
      <c r="AE237" s="2150"/>
      <c r="AF237" s="2150"/>
      <c r="AG237" s="2150"/>
      <c r="AH237" s="2150"/>
      <c r="AI237" s="2150"/>
      <c r="AJ237" s="2150"/>
      <c r="AK237" s="2150"/>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3.2">
      <c r="D238" s="12" t="s">
        <v>565</v>
      </c>
      <c r="M238" s="1955"/>
      <c r="N238" s="1955"/>
      <c r="O238" s="1955"/>
      <c r="P238" s="1955"/>
      <c r="Q238" s="1955"/>
      <c r="R238" s="1955"/>
      <c r="S238" s="1955"/>
      <c r="T238" s="1955"/>
      <c r="U238" s="1955"/>
      <c r="V238" s="1955"/>
      <c r="W238" s="1955"/>
      <c r="X238" s="1955"/>
      <c r="Y238" s="1955"/>
      <c r="Z238" s="1955"/>
      <c r="AA238" s="1955"/>
      <c r="AB238" s="1955"/>
      <c r="AC238" s="1955"/>
      <c r="AD238" s="1955"/>
      <c r="AE238" s="195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3.2">
      <c r="D239" s="60"/>
      <c r="K239" s="3"/>
      <c r="BB239" s="384" t="s">
        <v>945</v>
      </c>
      <c r="BG239" s="390">
        <f>IF(AND(AND($M$248="for profit",$M$256="for profit",$M$264="(select one)")),3,0)</f>
        <v>0</v>
      </c>
    </row>
    <row r="240" spans="1:69" ht="13.2">
      <c r="A240" s="50" t="s">
        <v>625</v>
      </c>
      <c r="C240" s="50" t="s">
        <v>1386</v>
      </c>
      <c r="D240" s="60"/>
      <c r="K240" s="3"/>
      <c r="L240" s="14"/>
      <c r="M240" s="14"/>
      <c r="N240" s="14"/>
      <c r="BB240" s="384" t="s">
        <v>945</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2">
      <c r="A242" s="29"/>
      <c r="B242" s="7"/>
      <c r="C242" s="136" t="s">
        <v>507</v>
      </c>
      <c r="D242" s="57" t="s">
        <v>566</v>
      </c>
      <c r="E242" s="57"/>
      <c r="F242" s="57"/>
      <c r="G242" s="57"/>
      <c r="H242" s="57"/>
      <c r="I242" s="57"/>
      <c r="J242" s="57"/>
      <c r="K242" s="57"/>
      <c r="L242" s="7"/>
      <c r="M242" s="2141" t="s">
        <v>2544</v>
      </c>
      <c r="N242" s="2141"/>
      <c r="O242" s="2141"/>
      <c r="P242" s="2141"/>
      <c r="Q242" s="2141"/>
      <c r="R242" s="2141"/>
      <c r="S242" s="2141"/>
      <c r="T242" s="2141"/>
      <c r="U242" s="2141"/>
      <c r="V242" s="2141"/>
      <c r="W242" s="2141"/>
      <c r="X242" s="2141"/>
      <c r="Y242" s="2141"/>
      <c r="Z242" s="2141"/>
      <c r="AA242" s="2141"/>
      <c r="AB242" s="2141"/>
      <c r="AC242" s="2141"/>
      <c r="AD242" s="2141"/>
      <c r="AE242" s="2141"/>
      <c r="AF242" s="2142" t="s">
        <v>2471</v>
      </c>
      <c r="AG242" s="2142"/>
      <c r="AH242" s="2142"/>
      <c r="AI242" s="2142"/>
      <c r="AJ242" s="2142"/>
      <c r="AK242" s="2142"/>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73" t="s">
        <v>2467</v>
      </c>
      <c r="N243" s="2073"/>
      <c r="O243" s="2073"/>
      <c r="P243" s="2073"/>
      <c r="Q243" s="2073"/>
      <c r="R243" s="2073"/>
      <c r="S243" s="2073"/>
      <c r="T243" s="2073"/>
      <c r="U243" s="2073"/>
      <c r="V243" s="2073"/>
      <c r="W243" s="2073"/>
      <c r="X243" s="2073"/>
      <c r="Y243" s="2073"/>
      <c r="Z243" s="2073"/>
      <c r="AA243" s="2073"/>
      <c r="AB243" s="2073"/>
      <c r="AC243" s="2073"/>
      <c r="AD243" s="2073"/>
      <c r="AE243" s="2073"/>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616</v>
      </c>
      <c r="E244" s="57"/>
      <c r="M244" s="2073" t="s">
        <v>773</v>
      </c>
      <c r="N244" s="2073"/>
      <c r="O244" s="2073"/>
      <c r="P244" s="2073"/>
      <c r="Q244" s="2073"/>
      <c r="R244" s="2073"/>
      <c r="S244" s="2073"/>
      <c r="T244" s="2073"/>
      <c r="V244" s="59" t="s">
        <v>91</v>
      </c>
      <c r="W244" s="1959" t="s">
        <v>2466</v>
      </c>
      <c r="X244" s="2027"/>
      <c r="Y244" s="57" t="s">
        <v>619</v>
      </c>
      <c r="AC244" s="2028">
        <v>92117</v>
      </c>
      <c r="AD244" s="2028"/>
      <c r="AE244" s="2028"/>
      <c r="AF244" s="58" t="s">
        <v>1383</v>
      </c>
      <c r="AG244" s="720"/>
      <c r="AH244" s="720"/>
      <c r="AI244" s="720"/>
      <c r="AJ244" s="720"/>
      <c r="AK244" s="720"/>
      <c r="BB244" s="12" t="s">
        <v>318</v>
      </c>
      <c r="BG244" s="12">
        <v>1</v>
      </c>
      <c r="BH244" s="12" t="s">
        <v>568</v>
      </c>
      <c r="BM244" s="25"/>
      <c r="BN244" s="3"/>
      <c r="BO244" s="3"/>
    </row>
    <row r="245" spans="1:72" ht="13.2">
      <c r="A245" s="29"/>
      <c r="B245" s="7"/>
      <c r="C245" s="7"/>
      <c r="D245" s="60" t="s">
        <v>92</v>
      </c>
      <c r="E245" s="7"/>
      <c r="F245" s="7"/>
      <c r="G245" s="7"/>
      <c r="H245" s="7"/>
      <c r="I245" s="7"/>
      <c r="J245" s="7"/>
      <c r="K245" s="7"/>
      <c r="L245" s="29"/>
      <c r="M245" s="2073" t="s">
        <v>2468</v>
      </c>
      <c r="N245" s="2073"/>
      <c r="O245" s="2073"/>
      <c r="P245" s="2073"/>
      <c r="Q245" s="2073"/>
      <c r="R245" s="2073"/>
      <c r="S245" s="2073"/>
      <c r="T245" s="2073"/>
      <c r="U245" s="2073"/>
      <c r="V245" s="2073"/>
      <c r="W245" s="2073"/>
      <c r="X245" s="2073"/>
      <c r="Y245" s="2073"/>
      <c r="Z245" s="2073"/>
      <c r="AA245" s="2073"/>
      <c r="AB245" s="2073"/>
      <c r="AC245" s="2073"/>
      <c r="AD245" s="2073"/>
      <c r="AE245" s="2073"/>
      <c r="AH245" s="2155">
        <v>5.1000000000000004E-4</v>
      </c>
      <c r="AI245" s="2155"/>
      <c r="AJ245" s="2155"/>
      <c r="AK245" s="2155"/>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3.2">
      <c r="A246" s="29"/>
      <c r="B246" s="7"/>
      <c r="C246" s="7"/>
      <c r="D246" s="60" t="s">
        <v>93</v>
      </c>
      <c r="E246" s="7"/>
      <c r="F246" s="7"/>
      <c r="M246" s="1954" t="s">
        <v>2469</v>
      </c>
      <c r="N246" s="1954"/>
      <c r="O246" s="1954"/>
      <c r="P246" s="1954"/>
      <c r="Q246" s="1954"/>
      <c r="R246" s="1954"/>
      <c r="S246" s="7" t="s">
        <v>212</v>
      </c>
      <c r="T246" s="7"/>
      <c r="U246" s="2027"/>
      <c r="V246" s="2027"/>
      <c r="W246" s="2027"/>
      <c r="X246" s="7" t="s">
        <v>94</v>
      </c>
      <c r="Z246" s="2022"/>
      <c r="AA246" s="2022"/>
      <c r="AB246" s="2022"/>
      <c r="AC246" s="2022"/>
      <c r="AD246" s="2022"/>
      <c r="AE246" s="2022"/>
      <c r="BB246" s="7" t="s">
        <v>178</v>
      </c>
      <c r="BG246" s="12">
        <v>3</v>
      </c>
      <c r="BH246" s="12" t="s">
        <v>570</v>
      </c>
      <c r="BN246" s="391"/>
      <c r="BO246" s="39"/>
    </row>
    <row r="247" spans="1:72" ht="13.2">
      <c r="A247" s="29"/>
      <c r="B247" s="7"/>
      <c r="C247" s="7"/>
      <c r="D247" s="60" t="s">
        <v>95</v>
      </c>
      <c r="E247" s="7"/>
      <c r="F247" s="7"/>
      <c r="M247" s="2145" t="s">
        <v>2470</v>
      </c>
      <c r="N247" s="2145"/>
      <c r="O247" s="2145"/>
      <c r="P247" s="2145"/>
      <c r="Q247" s="2145"/>
      <c r="R247" s="2145"/>
      <c r="S247" s="2145"/>
      <c r="T247" s="2145"/>
      <c r="U247" s="2145"/>
      <c r="V247" s="2145"/>
      <c r="W247" s="2145"/>
      <c r="X247" s="2145"/>
      <c r="Y247" s="2145"/>
      <c r="Z247" s="2145"/>
      <c r="AA247" s="2145"/>
      <c r="AB247" s="2145"/>
      <c r="AC247" s="2145"/>
      <c r="AD247" s="2145"/>
      <c r="AE247" s="214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569</v>
      </c>
      <c r="E248" s="7"/>
      <c r="F248" s="7"/>
      <c r="G248" s="7"/>
      <c r="H248" s="7"/>
      <c r="I248" s="7"/>
      <c r="J248" s="7"/>
      <c r="K248" s="7"/>
      <c r="L248" s="7"/>
      <c r="M248" s="1960" t="s">
        <v>570</v>
      </c>
      <c r="N248" s="1960"/>
      <c r="O248" s="1960"/>
      <c r="P248" s="1960"/>
      <c r="Q248" s="1960"/>
      <c r="R248" s="1960"/>
      <c r="S248" s="1960"/>
      <c r="T248" s="1960"/>
      <c r="U248" s="388" t="s">
        <v>978</v>
      </c>
      <c r="V248" s="326"/>
      <c r="W248" s="326"/>
      <c r="X248" s="326"/>
      <c r="Y248" s="326"/>
      <c r="Z248" s="326"/>
      <c r="AA248" s="2150"/>
      <c r="AB248" s="2150"/>
      <c r="AC248" s="2150"/>
      <c r="AD248" s="2150"/>
      <c r="AE248" s="2150"/>
      <c r="AF248" s="2150"/>
      <c r="AG248" s="2150"/>
      <c r="AH248" s="2150"/>
      <c r="AI248" s="2150"/>
      <c r="AJ248" s="2150"/>
      <c r="AK248" s="2150"/>
      <c r="BN248" s="61"/>
    </row>
    <row r="249" spans="1:72" ht="13.2">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1037</v>
      </c>
      <c r="E250" s="57"/>
      <c r="F250" s="57"/>
      <c r="G250" s="57"/>
      <c r="H250" s="57"/>
      <c r="I250" s="57"/>
      <c r="J250" s="57"/>
      <c r="K250" s="57"/>
      <c r="L250" s="7"/>
      <c r="M250" s="2141" t="s">
        <v>2545</v>
      </c>
      <c r="N250" s="2141"/>
      <c r="O250" s="2141"/>
      <c r="P250" s="2141"/>
      <c r="Q250" s="2141"/>
      <c r="R250" s="2141"/>
      <c r="S250" s="2141"/>
      <c r="T250" s="2141"/>
      <c r="U250" s="2141"/>
      <c r="V250" s="2141"/>
      <c r="W250" s="2141"/>
      <c r="X250" s="2141"/>
      <c r="Y250" s="2141"/>
      <c r="Z250" s="2141"/>
      <c r="AA250" s="2141"/>
      <c r="AB250" s="2141"/>
      <c r="AC250" s="2141"/>
      <c r="AD250" s="2141"/>
      <c r="AE250" s="2141"/>
      <c r="AF250" s="2142" t="s">
        <v>2532</v>
      </c>
      <c r="AG250" s="2142"/>
      <c r="AH250" s="2142"/>
      <c r="AI250" s="2142"/>
      <c r="AJ250" s="2142"/>
      <c r="AK250" s="2142"/>
      <c r="BN250" s="61"/>
    </row>
    <row r="251" spans="1:72" ht="13.2">
      <c r="A251" s="29"/>
      <c r="B251" s="7"/>
      <c r="C251" s="7"/>
      <c r="D251" s="57" t="s">
        <v>90</v>
      </c>
      <c r="E251" s="57"/>
      <c r="F251" s="57"/>
      <c r="G251" s="57"/>
      <c r="H251" s="57"/>
      <c r="I251" s="57"/>
      <c r="J251" s="57"/>
      <c r="K251" s="57"/>
      <c r="L251" s="7"/>
      <c r="M251" s="2073" t="s">
        <v>2546</v>
      </c>
      <c r="N251" s="2073"/>
      <c r="O251" s="2073"/>
      <c r="P251" s="2073"/>
      <c r="Q251" s="2073"/>
      <c r="R251" s="2073"/>
      <c r="S251" s="2073"/>
      <c r="T251" s="2073"/>
      <c r="U251" s="2073"/>
      <c r="V251" s="2073"/>
      <c r="W251" s="2073"/>
      <c r="X251" s="2073"/>
      <c r="Y251" s="2073"/>
      <c r="Z251" s="2073"/>
      <c r="AA251" s="2073"/>
      <c r="AB251" s="2073"/>
      <c r="AC251" s="2073"/>
      <c r="AD251" s="2073"/>
      <c r="AE251" s="2073"/>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616</v>
      </c>
      <c r="E252" s="57"/>
      <c r="M252" s="2073" t="s">
        <v>58</v>
      </c>
      <c r="N252" s="2073"/>
      <c r="O252" s="2073"/>
      <c r="P252" s="2073"/>
      <c r="Q252" s="2073"/>
      <c r="R252" s="2073"/>
      <c r="S252" s="2073"/>
      <c r="T252" s="2073"/>
      <c r="V252" s="59" t="s">
        <v>91</v>
      </c>
      <c r="W252" s="1959" t="s">
        <v>2466</v>
      </c>
      <c r="X252" s="2027"/>
      <c r="Y252" s="57" t="s">
        <v>619</v>
      </c>
      <c r="AC252" s="2028">
        <v>95348</v>
      </c>
      <c r="AD252" s="2028"/>
      <c r="AE252" s="2028"/>
      <c r="AF252" s="58" t="s">
        <v>1383</v>
      </c>
      <c r="AG252" s="720"/>
      <c r="AH252" s="720"/>
      <c r="AI252" s="720"/>
      <c r="AJ252" s="720"/>
      <c r="AK252" s="720"/>
      <c r="BN252" s="61"/>
    </row>
    <row r="253" spans="1:72" ht="13.2">
      <c r="A253" s="29"/>
      <c r="B253" s="7"/>
      <c r="C253" s="7"/>
      <c r="D253" s="60" t="s">
        <v>92</v>
      </c>
      <c r="E253" s="7"/>
      <c r="F253" s="7"/>
      <c r="G253" s="7"/>
      <c r="H253" s="7"/>
      <c r="I253" s="7"/>
      <c r="J253" s="7"/>
      <c r="K253" s="7"/>
      <c r="L253" s="29"/>
      <c r="M253" s="2073" t="s">
        <v>2547</v>
      </c>
      <c r="N253" s="2073"/>
      <c r="O253" s="2073"/>
      <c r="P253" s="2073"/>
      <c r="Q253" s="2073"/>
      <c r="R253" s="2073"/>
      <c r="S253" s="2073"/>
      <c r="T253" s="2073"/>
      <c r="U253" s="2073"/>
      <c r="V253" s="2073"/>
      <c r="W253" s="2073"/>
      <c r="X253" s="2073"/>
      <c r="Y253" s="2073"/>
      <c r="Z253" s="2073"/>
      <c r="AA253" s="2073"/>
      <c r="AB253" s="2073"/>
      <c r="AC253" s="2073"/>
      <c r="AD253" s="2073"/>
      <c r="AE253" s="2073"/>
      <c r="AF253" s="720"/>
      <c r="AG253" s="720"/>
      <c r="AH253" s="2155">
        <v>4.8999999999999998E-4</v>
      </c>
      <c r="AI253" s="2155"/>
      <c r="AJ253" s="2155"/>
      <c r="AK253" s="2155"/>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1954" t="s">
        <v>2548</v>
      </c>
      <c r="N254" s="1954"/>
      <c r="O254" s="1954"/>
      <c r="P254" s="1954"/>
      <c r="Q254" s="1954"/>
      <c r="R254" s="1954"/>
      <c r="S254" s="7" t="s">
        <v>212</v>
      </c>
      <c r="T254" s="7"/>
      <c r="U254" s="2027"/>
      <c r="V254" s="2027"/>
      <c r="W254" s="2027"/>
      <c r="X254" s="7" t="s">
        <v>94</v>
      </c>
      <c r="Z254" s="2022"/>
      <c r="AA254" s="2022"/>
      <c r="AB254" s="2022"/>
      <c r="AC254" s="2022"/>
      <c r="AD254" s="2022"/>
      <c r="AE254" s="2022"/>
    </row>
    <row r="255" spans="1:72" ht="13.2">
      <c r="A255" s="29"/>
      <c r="B255" s="7"/>
      <c r="C255" s="7"/>
      <c r="D255" s="60" t="s">
        <v>95</v>
      </c>
      <c r="E255" s="7"/>
      <c r="F255" s="7"/>
      <c r="M255" s="2145" t="s">
        <v>2549</v>
      </c>
      <c r="N255" s="2145"/>
      <c r="O255" s="2145"/>
      <c r="P255" s="2145"/>
      <c r="Q255" s="2145"/>
      <c r="R255" s="2145"/>
      <c r="S255" s="2145"/>
      <c r="T255" s="2145"/>
      <c r="U255" s="2145"/>
      <c r="V255" s="2145"/>
      <c r="W255" s="2145"/>
      <c r="X255" s="2145"/>
      <c r="Y255" s="2145"/>
      <c r="Z255" s="2145"/>
      <c r="AA255" s="2145"/>
      <c r="AB255" s="2145"/>
      <c r="AC255" s="2145"/>
      <c r="AD255" s="2145"/>
      <c r="AE255" s="214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569</v>
      </c>
      <c r="E256" s="7"/>
      <c r="F256" s="7"/>
      <c r="G256" s="7"/>
      <c r="H256" s="7"/>
      <c r="I256" s="7"/>
      <c r="J256" s="7"/>
      <c r="K256" s="7"/>
      <c r="L256" s="7"/>
      <c r="M256" s="1960" t="s">
        <v>568</v>
      </c>
      <c r="N256" s="1960"/>
      <c r="O256" s="1960"/>
      <c r="P256" s="1960"/>
      <c r="Q256" s="1960"/>
      <c r="R256" s="1960"/>
      <c r="S256" s="1960"/>
      <c r="T256" s="1960"/>
      <c r="U256" s="388" t="s">
        <v>978</v>
      </c>
      <c r="V256" s="326"/>
      <c r="W256" s="326"/>
      <c r="X256" s="326"/>
      <c r="Y256" s="326"/>
      <c r="Z256" s="326"/>
      <c r="AA256" s="2161"/>
      <c r="AB256" s="2161"/>
      <c r="AC256" s="2161"/>
      <c r="AD256" s="2161"/>
      <c r="AE256" s="2161"/>
      <c r="AF256" s="2161"/>
      <c r="AG256" s="2161"/>
      <c r="AH256" s="2161"/>
      <c r="AI256" s="2161"/>
      <c r="AJ256" s="2161"/>
      <c r="AK256" s="216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142"/>
      <c r="N258" s="2142"/>
      <c r="O258" s="2142"/>
      <c r="P258" s="2142"/>
      <c r="Q258" s="2142"/>
      <c r="R258" s="2142"/>
      <c r="S258" s="2142"/>
      <c r="T258" s="2142"/>
      <c r="U258" s="2142"/>
      <c r="V258" s="2142"/>
      <c r="W258" s="2142"/>
      <c r="X258" s="2142"/>
      <c r="Y258" s="2142"/>
      <c r="Z258" s="2142"/>
      <c r="AA258" s="2142"/>
      <c r="AB258" s="2142"/>
      <c r="AC258" s="2142"/>
      <c r="AD258" s="2142"/>
      <c r="AE258" s="2142"/>
      <c r="AF258" s="2142" t="s">
        <v>318</v>
      </c>
      <c r="AG258" s="2142"/>
      <c r="AH258" s="2142"/>
      <c r="AI258" s="2142"/>
      <c r="AJ258" s="2142"/>
      <c r="AK258" s="214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28"/>
      <c r="N259" s="2028"/>
      <c r="O259" s="2028"/>
      <c r="P259" s="2028"/>
      <c r="Q259" s="2028"/>
      <c r="R259" s="2028"/>
      <c r="S259" s="2028"/>
      <c r="T259" s="2028"/>
      <c r="U259" s="2028"/>
      <c r="V259" s="2028"/>
      <c r="W259" s="2028"/>
      <c r="X259" s="2028"/>
      <c r="Y259" s="2028"/>
      <c r="Z259" s="2028"/>
      <c r="AA259" s="2028"/>
      <c r="AB259" s="2028"/>
      <c r="AC259" s="2028"/>
      <c r="AD259" s="2028"/>
      <c r="AE259" s="2028"/>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028"/>
      <c r="N260" s="2028"/>
      <c r="O260" s="2028"/>
      <c r="P260" s="2028"/>
      <c r="Q260" s="2028"/>
      <c r="R260" s="2028"/>
      <c r="S260" s="2028"/>
      <c r="T260" s="2028"/>
      <c r="V260" s="59" t="s">
        <v>91</v>
      </c>
      <c r="W260" s="2027"/>
      <c r="X260" s="2027"/>
      <c r="Y260" s="57" t="s">
        <v>619</v>
      </c>
      <c r="AC260" s="2028"/>
      <c r="AD260" s="2028"/>
      <c r="AE260" s="2028"/>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028"/>
      <c r="N261" s="2028"/>
      <c r="O261" s="2028"/>
      <c r="P261" s="2028"/>
      <c r="Q261" s="2028"/>
      <c r="R261" s="2028"/>
      <c r="S261" s="2028"/>
      <c r="T261" s="2028"/>
      <c r="U261" s="2028"/>
      <c r="V261" s="2028"/>
      <c r="W261" s="2028"/>
      <c r="X261" s="2028"/>
      <c r="Y261" s="2028"/>
      <c r="Z261" s="2028"/>
      <c r="AA261" s="2028"/>
      <c r="AB261" s="2028"/>
      <c r="AC261" s="2028"/>
      <c r="AD261" s="2028"/>
      <c r="AE261" s="2028"/>
      <c r="AF261" s="720"/>
      <c r="AG261" s="720"/>
      <c r="AH261" s="2155"/>
      <c r="AI261" s="2155"/>
      <c r="AJ261" s="2155"/>
      <c r="AK261" s="2155"/>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22"/>
      <c r="N262" s="2022"/>
      <c r="O262" s="2022"/>
      <c r="P262" s="2022"/>
      <c r="Q262" s="2022"/>
      <c r="R262" s="2022"/>
      <c r="S262" s="7" t="s">
        <v>212</v>
      </c>
      <c r="T262" s="7"/>
      <c r="U262" s="2027"/>
      <c r="V262" s="2027"/>
      <c r="W262" s="2027"/>
      <c r="X262" s="7" t="s">
        <v>94</v>
      </c>
      <c r="Z262" s="2022"/>
      <c r="AA262" s="2022"/>
      <c r="AB262" s="2022"/>
      <c r="AC262" s="2022"/>
      <c r="AD262" s="2022"/>
      <c r="AE262" s="2022"/>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145"/>
      <c r="N263" s="2145"/>
      <c r="O263" s="2145"/>
      <c r="P263" s="2145"/>
      <c r="Q263" s="2145"/>
      <c r="R263" s="2145"/>
      <c r="S263" s="2145"/>
      <c r="T263" s="2145"/>
      <c r="U263" s="2145"/>
      <c r="V263" s="2145"/>
      <c r="W263" s="2145"/>
      <c r="X263" s="2145"/>
      <c r="Y263" s="2145"/>
      <c r="Z263" s="2145"/>
      <c r="AA263" s="2146"/>
      <c r="AB263" s="2146"/>
      <c r="AC263" s="2146"/>
      <c r="AD263" s="2146"/>
      <c r="AE263" s="214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569</v>
      </c>
      <c r="E264" s="7"/>
      <c r="F264" s="7"/>
      <c r="G264" s="7"/>
      <c r="H264" s="7"/>
      <c r="I264" s="7"/>
      <c r="J264" s="7"/>
      <c r="K264" s="7"/>
      <c r="L264" s="7"/>
      <c r="M264" s="1960" t="s">
        <v>318</v>
      </c>
      <c r="N264" s="1960"/>
      <c r="O264" s="1960"/>
      <c r="P264" s="1960"/>
      <c r="Q264" s="1960"/>
      <c r="R264" s="1960"/>
      <c r="S264" s="1960"/>
      <c r="T264" s="1960"/>
      <c r="U264" s="388" t="s">
        <v>978</v>
      </c>
      <c r="V264" s="326"/>
      <c r="W264" s="326"/>
      <c r="X264" s="326"/>
      <c r="Y264" s="326"/>
      <c r="Z264" s="326"/>
      <c r="AA264" s="2158"/>
      <c r="AB264" s="2158"/>
      <c r="AC264" s="2158"/>
      <c r="AD264" s="2158"/>
      <c r="AE264" s="2158"/>
      <c r="AF264" s="2158"/>
      <c r="AG264" s="2158"/>
      <c r="AH264" s="2158"/>
      <c r="AI264" s="2158"/>
      <c r="AJ264" s="2158"/>
      <c r="AK264" s="2158"/>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626</v>
      </c>
      <c r="B266" s="7"/>
      <c r="C266" s="50" t="s">
        <v>305</v>
      </c>
      <c r="D266" s="7"/>
      <c r="E266" s="7"/>
      <c r="F266" s="7"/>
      <c r="G266" s="7"/>
      <c r="H266" s="7"/>
      <c r="I266" s="7"/>
      <c r="J266" s="7"/>
      <c r="K266" s="7"/>
      <c r="L266" s="7"/>
      <c r="M266" s="147"/>
      <c r="N266" s="147"/>
      <c r="O266" s="147"/>
      <c r="P266" s="147"/>
      <c r="Q266" s="147"/>
      <c r="T266" s="2153" t="str">
        <f>BO245</f>
        <v>Joint Venture</v>
      </c>
      <c r="U266" s="2153"/>
      <c r="V266" s="2153"/>
      <c r="W266" s="2153"/>
      <c r="X266" s="2153"/>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028" t="s">
        <v>288</v>
      </c>
      <c r="E269" s="2028"/>
      <c r="F269" s="2028"/>
      <c r="G269" s="2028"/>
      <c r="H269" s="2028"/>
      <c r="J269" s="12" t="s">
        <v>287</v>
      </c>
      <c r="X269" s="2162"/>
      <c r="Y269" s="2162"/>
      <c r="Z269" s="2162"/>
      <c r="AA269" s="2162"/>
      <c r="AB269" s="2162"/>
      <c r="AC269" s="2162"/>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141" t="s">
        <v>2527</v>
      </c>
      <c r="M273" s="2141"/>
      <c r="N273" s="2141"/>
      <c r="O273" s="2141"/>
      <c r="P273" s="2141"/>
      <c r="Q273" s="2141"/>
      <c r="R273" s="2141"/>
      <c r="S273" s="2141"/>
      <c r="T273" s="2141"/>
      <c r="U273" s="2141"/>
      <c r="V273" s="2141"/>
      <c r="W273" s="2141"/>
      <c r="X273" s="2141"/>
      <c r="Y273" s="2141"/>
      <c r="Z273" s="2141"/>
      <c r="AA273" s="2141"/>
      <c r="AB273" s="2141"/>
      <c r="AC273" s="2141"/>
      <c r="AD273" s="2141"/>
      <c r="AE273" s="2141"/>
      <c r="AF273" s="2141"/>
      <c r="AG273" s="2141"/>
      <c r="AH273" s="2141"/>
      <c r="AI273" s="2141"/>
      <c r="AJ273" s="214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73" t="s">
        <v>2467</v>
      </c>
      <c r="M274" s="2073"/>
      <c r="N274" s="2073"/>
      <c r="O274" s="2073"/>
      <c r="P274" s="2073"/>
      <c r="Q274" s="2073"/>
      <c r="R274" s="2073"/>
      <c r="S274" s="2073"/>
      <c r="T274" s="2073"/>
      <c r="U274" s="2073"/>
      <c r="V274" s="2073"/>
      <c r="W274" s="2073"/>
      <c r="X274" s="2073"/>
      <c r="Y274" s="2073"/>
      <c r="Z274" s="2073"/>
      <c r="AA274" s="2073"/>
      <c r="AB274" s="2073"/>
      <c r="AC274" s="2073"/>
      <c r="AD274" s="2073"/>
      <c r="AK274" s="58"/>
      <c r="AL274" s="58"/>
      <c r="AM274" s="239"/>
      <c r="AN274" s="239"/>
      <c r="AO274" s="239"/>
      <c r="AP274" s="239"/>
      <c r="AQ274" s="239"/>
      <c r="AR274" s="239"/>
      <c r="AS274" s="239"/>
      <c r="AT274" s="239"/>
      <c r="AU274" s="239"/>
      <c r="AV274" s="239"/>
      <c r="AW274" s="239"/>
      <c r="AX274" s="239"/>
      <c r="AY274" s="239"/>
      <c r="BN274" s="61"/>
    </row>
    <row r="275" spans="1:66" ht="13.2">
      <c r="D275" s="57" t="s">
        <v>616</v>
      </c>
      <c r="E275" s="57"/>
      <c r="L275" s="2073" t="s">
        <v>773</v>
      </c>
      <c r="M275" s="2073"/>
      <c r="N275" s="2073"/>
      <c r="O275" s="2073"/>
      <c r="P275" s="2073"/>
      <c r="Q275" s="2073"/>
      <c r="R275" s="2073"/>
      <c r="S275" s="2073"/>
      <c r="U275" s="59" t="s">
        <v>91</v>
      </c>
      <c r="V275" s="1959" t="s">
        <v>2466</v>
      </c>
      <c r="W275" s="2027"/>
      <c r="X275" s="57" t="s">
        <v>619</v>
      </c>
      <c r="AB275" s="2028">
        <v>92117</v>
      </c>
      <c r="AC275" s="2028"/>
      <c r="AD275" s="202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3" t="s">
        <v>2524</v>
      </c>
      <c r="M276" s="2073"/>
      <c r="N276" s="2073"/>
      <c r="O276" s="2073"/>
      <c r="P276" s="2073"/>
      <c r="Q276" s="2073"/>
      <c r="R276" s="2073"/>
      <c r="S276" s="2073"/>
      <c r="T276" s="2073"/>
      <c r="U276" s="2073"/>
      <c r="V276" s="2073"/>
      <c r="W276" s="2073"/>
      <c r="X276" s="2073"/>
      <c r="Y276" s="2073"/>
      <c r="Z276" s="2073"/>
      <c r="AA276" s="2073"/>
      <c r="AB276" s="2073"/>
      <c r="AC276" s="2073"/>
      <c r="AD276" s="207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1954" t="s">
        <v>2526</v>
      </c>
      <c r="M277" s="1954"/>
      <c r="N277" s="1954"/>
      <c r="O277" s="1954"/>
      <c r="P277" s="1954"/>
      <c r="Q277" s="1954"/>
      <c r="R277" s="7" t="s">
        <v>212</v>
      </c>
      <c r="S277" s="7"/>
      <c r="T277" s="2027"/>
      <c r="U277" s="2027"/>
      <c r="V277" s="2027"/>
      <c r="W277" s="7" t="s">
        <v>94</v>
      </c>
      <c r="Y277" s="2022"/>
      <c r="Z277" s="2022"/>
      <c r="AA277" s="2022"/>
      <c r="AB277" s="2022"/>
      <c r="AC277" s="2022"/>
      <c r="AD277" s="2022"/>
      <c r="BN277" s="61"/>
    </row>
    <row r="278" spans="1:66" ht="13.2">
      <c r="D278" s="60" t="s">
        <v>95</v>
      </c>
      <c r="E278" s="7"/>
      <c r="F278" s="7"/>
      <c r="L278" s="2145" t="s">
        <v>2525</v>
      </c>
      <c r="M278" s="2145"/>
      <c r="N278" s="2145"/>
      <c r="O278" s="2145"/>
      <c r="P278" s="2145"/>
      <c r="Q278" s="2145"/>
      <c r="R278" s="2145"/>
      <c r="S278" s="2145"/>
      <c r="T278" s="2145"/>
      <c r="U278" s="2145"/>
      <c r="V278" s="2145"/>
      <c r="W278" s="2145"/>
      <c r="X278" s="2145"/>
      <c r="Y278" s="2145"/>
      <c r="Z278" s="2145"/>
      <c r="AA278" s="2145"/>
      <c r="AB278" s="2145"/>
      <c r="AC278" s="2145"/>
      <c r="AD278" s="2145"/>
      <c r="AF278" s="7"/>
      <c r="AG278" s="7"/>
      <c r="AH278" s="7"/>
      <c r="AI278" s="7"/>
      <c r="AJ278" s="7"/>
      <c r="BN278" s="61"/>
    </row>
    <row r="279" spans="1:66" ht="13.2">
      <c r="D279" s="58" t="s">
        <v>659</v>
      </c>
      <c r="E279" s="58"/>
      <c r="F279" s="58"/>
      <c r="G279" s="58"/>
      <c r="H279" s="58"/>
      <c r="I279" s="58"/>
      <c r="L279" s="1959" t="s">
        <v>2528</v>
      </c>
      <c r="M279" s="1959"/>
      <c r="N279" s="1959"/>
      <c r="O279" s="1959"/>
      <c r="P279" s="1959"/>
      <c r="Q279" s="1959"/>
      <c r="R279" s="1959"/>
      <c r="S279" s="1959"/>
      <c r="T279" s="1959"/>
      <c r="U279" s="1959"/>
      <c r="V279" s="1959"/>
      <c r="W279" s="1959"/>
      <c r="X279" s="1959"/>
      <c r="Y279" s="1959"/>
      <c r="Z279" s="1959"/>
      <c r="AA279" s="1959"/>
      <c r="AB279" s="1959"/>
      <c r="AC279" s="1959"/>
      <c r="AD279" s="1959"/>
      <c r="AK279" s="58"/>
      <c r="AL279" s="58"/>
      <c r="AM279" s="239"/>
      <c r="AN279" s="239"/>
      <c r="AO279" s="239"/>
      <c r="AP279" s="239"/>
      <c r="AQ279" s="239"/>
      <c r="AR279" s="239"/>
      <c r="AS279" s="239"/>
      <c r="AT279" s="239"/>
      <c r="AU279" s="239"/>
      <c r="AV279" s="239"/>
      <c r="AW279" s="239"/>
      <c r="AX279" s="239"/>
      <c r="AY279" s="239"/>
      <c r="BN279" s="61"/>
    </row>
    <row r="280" spans="1:66" ht="13.2">
      <c r="L280" s="35" t="s">
        <v>660</v>
      </c>
      <c r="BN280" s="61"/>
    </row>
    <row r="281" spans="1:66" ht="13.2">
      <c r="A281" s="2123" t="s">
        <v>575</v>
      </c>
      <c r="B281" s="2123"/>
      <c r="C281" s="2123"/>
      <c r="D281" s="2123"/>
      <c r="E281" s="2123"/>
      <c r="F281" s="2123"/>
      <c r="G281" s="2123"/>
      <c r="H281" s="2123"/>
      <c r="I281" s="2123"/>
      <c r="J281" s="2123"/>
      <c r="K281" s="2123"/>
      <c r="L281" s="2123"/>
      <c r="M281" s="2123"/>
      <c r="N281" s="2123"/>
      <c r="O281" s="2123"/>
      <c r="P281" s="2123"/>
      <c r="Q281" s="2123"/>
      <c r="R281" s="2123"/>
      <c r="S281" s="2123"/>
      <c r="T281" s="2123"/>
      <c r="U281" s="2123"/>
      <c r="V281" s="2123"/>
      <c r="W281" s="2123"/>
      <c r="X281" s="2123"/>
      <c r="Y281" s="2123"/>
      <c r="Z281" s="2123"/>
      <c r="AA281" s="2123"/>
      <c r="AB281" s="2123"/>
      <c r="AC281" s="2123"/>
      <c r="AD281" s="2123"/>
      <c r="AE281" s="2123"/>
      <c r="AF281" s="2123"/>
      <c r="AG281" s="2123"/>
      <c r="AH281" s="2123"/>
      <c r="AI281" s="2123"/>
      <c r="AJ281" s="2123"/>
      <c r="AK281" s="2123"/>
      <c r="AL281" s="2123"/>
      <c r="AM281" s="144"/>
      <c r="AN281" s="144"/>
      <c r="AO281" s="144"/>
      <c r="AP281" s="144"/>
      <c r="AQ281" s="144"/>
      <c r="AR281" s="144"/>
      <c r="AS281" s="144"/>
      <c r="AT281" s="144"/>
      <c r="AU281" s="144"/>
      <c r="AV281" s="144"/>
      <c r="AW281" s="144"/>
      <c r="AX281" s="144"/>
      <c r="AY281" s="144"/>
      <c r="BN281" s="61"/>
    </row>
    <row r="282" spans="1:66" ht="13.8" thickBot="1">
      <c r="A282" s="2124"/>
      <c r="B282" s="2124"/>
      <c r="C282" s="2124"/>
      <c r="D282" s="2124"/>
      <c r="E282" s="2124"/>
      <c r="F282" s="2124"/>
      <c r="G282" s="2124"/>
      <c r="H282" s="2124"/>
      <c r="I282" s="2124"/>
      <c r="J282" s="2124"/>
      <c r="K282" s="2124"/>
      <c r="L282" s="2124"/>
      <c r="M282" s="2124"/>
      <c r="N282" s="2124"/>
      <c r="O282" s="2124"/>
      <c r="P282" s="2124"/>
      <c r="Q282" s="2124"/>
      <c r="R282" s="2124"/>
      <c r="S282" s="2124"/>
      <c r="T282" s="2124"/>
      <c r="U282" s="2124"/>
      <c r="V282" s="2124"/>
      <c r="W282" s="2124"/>
      <c r="X282" s="2124"/>
      <c r="Y282" s="2124"/>
      <c r="Z282" s="2124"/>
      <c r="AA282" s="2124"/>
      <c r="AB282" s="2124"/>
      <c r="AC282" s="2124"/>
      <c r="AD282" s="2124"/>
      <c r="AE282" s="2124"/>
      <c r="AF282" s="2124"/>
      <c r="AG282" s="2124"/>
      <c r="AH282" s="2124"/>
      <c r="AI282" s="2124"/>
      <c r="AJ282" s="2124"/>
      <c r="AK282" s="2124"/>
      <c r="AL282" s="2124"/>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662</v>
      </c>
      <c r="C286" s="58"/>
      <c r="D286" s="58"/>
      <c r="E286" s="58"/>
      <c r="F286" s="58"/>
      <c r="H286" s="1955" t="s">
        <v>2472</v>
      </c>
      <c r="I286" s="1955"/>
      <c r="J286" s="1955"/>
      <c r="K286" s="1955"/>
      <c r="L286" s="1955"/>
      <c r="M286" s="1955"/>
      <c r="N286" s="1955"/>
      <c r="O286" s="1955"/>
      <c r="P286" s="1955"/>
      <c r="Q286" s="1955"/>
      <c r="R286" s="1955"/>
      <c r="T286" s="58" t="s">
        <v>601</v>
      </c>
      <c r="V286" s="58"/>
      <c r="W286" s="58"/>
      <c r="X286" s="58"/>
      <c r="Y286" s="58"/>
      <c r="AA286" s="1955" t="s">
        <v>2550</v>
      </c>
      <c r="AB286" s="1955"/>
      <c r="AC286" s="1955"/>
      <c r="AD286" s="1955"/>
      <c r="AE286" s="1955"/>
      <c r="AF286" s="1955"/>
      <c r="AG286" s="1955"/>
      <c r="AH286" s="1955"/>
      <c r="AI286" s="1955"/>
      <c r="AJ286" s="1955"/>
      <c r="AK286" s="1955"/>
      <c r="BN286" s="61"/>
    </row>
    <row r="287" spans="1:66" ht="13.2">
      <c r="B287" s="58" t="s">
        <v>505</v>
      </c>
      <c r="C287" s="58"/>
      <c r="D287" s="58"/>
      <c r="E287" s="58"/>
      <c r="F287" s="58"/>
      <c r="H287" s="1960" t="s">
        <v>2467</v>
      </c>
      <c r="I287" s="1960"/>
      <c r="J287" s="1960"/>
      <c r="K287" s="1960"/>
      <c r="L287" s="1960"/>
      <c r="M287" s="1960"/>
      <c r="N287" s="1960"/>
      <c r="O287" s="1960"/>
      <c r="P287" s="1960"/>
      <c r="Q287" s="1960"/>
      <c r="R287" s="1960"/>
      <c r="T287" s="58" t="s">
        <v>505</v>
      </c>
      <c r="V287" s="58"/>
      <c r="W287" s="58"/>
      <c r="X287" s="58"/>
      <c r="Y287" s="58"/>
      <c r="AA287" s="1960" t="s">
        <v>2551</v>
      </c>
      <c r="AB287" s="1960"/>
      <c r="AC287" s="1960"/>
      <c r="AD287" s="1960"/>
      <c r="AE287" s="1960"/>
      <c r="AF287" s="1960"/>
      <c r="AG287" s="1960"/>
      <c r="AH287" s="1960"/>
      <c r="AI287" s="1960"/>
      <c r="AJ287" s="1960"/>
      <c r="AK287" s="1960"/>
      <c r="BN287" s="61"/>
    </row>
    <row r="288" spans="1:66" ht="13.2">
      <c r="B288" s="58" t="s">
        <v>506</v>
      </c>
      <c r="C288" s="58"/>
      <c r="D288" s="58"/>
      <c r="E288" s="58"/>
      <c r="F288" s="58"/>
      <c r="H288" s="1960" t="s">
        <v>2473</v>
      </c>
      <c r="I288" s="1960"/>
      <c r="J288" s="1960"/>
      <c r="K288" s="1960"/>
      <c r="L288" s="1960"/>
      <c r="M288" s="1960"/>
      <c r="N288" s="1960"/>
      <c r="O288" s="1960"/>
      <c r="P288" s="1960"/>
      <c r="Q288" s="1960"/>
      <c r="R288" s="1960"/>
      <c r="T288" s="58" t="s">
        <v>79</v>
      </c>
      <c r="V288" s="58"/>
      <c r="W288" s="58"/>
      <c r="X288" s="58"/>
      <c r="Y288" s="58"/>
      <c r="AA288" s="1960" t="s">
        <v>2552</v>
      </c>
      <c r="AB288" s="1960"/>
      <c r="AC288" s="1960"/>
      <c r="AD288" s="1960"/>
      <c r="AE288" s="1960"/>
      <c r="AF288" s="1960"/>
      <c r="AG288" s="1960"/>
      <c r="AH288" s="1960"/>
      <c r="AI288" s="1960"/>
      <c r="AJ288" s="1960"/>
      <c r="AK288" s="1960"/>
      <c r="BN288" s="61"/>
    </row>
    <row r="289" spans="2:66" ht="12.75" customHeight="1">
      <c r="B289" s="58" t="s">
        <v>92</v>
      </c>
      <c r="C289" s="58"/>
      <c r="D289" s="58"/>
      <c r="E289" s="58"/>
      <c r="F289" s="58"/>
      <c r="H289" s="1960" t="s">
        <v>2468</v>
      </c>
      <c r="I289" s="1960"/>
      <c r="J289" s="1960"/>
      <c r="K289" s="1960"/>
      <c r="L289" s="1960"/>
      <c r="M289" s="1960"/>
      <c r="N289" s="1960"/>
      <c r="O289" s="1960"/>
      <c r="P289" s="1960"/>
      <c r="Q289" s="1960"/>
      <c r="R289" s="1960"/>
      <c r="T289" s="58" t="s">
        <v>92</v>
      </c>
      <c r="V289" s="58"/>
      <c r="W289" s="58"/>
      <c r="X289" s="58"/>
      <c r="Y289" s="58"/>
      <c r="AA289" s="1960" t="s">
        <v>2553</v>
      </c>
      <c r="AB289" s="1960"/>
      <c r="AC289" s="1960"/>
      <c r="AD289" s="1960"/>
      <c r="AE289" s="1960"/>
      <c r="AF289" s="1960"/>
      <c r="AG289" s="1960"/>
      <c r="AH289" s="1960"/>
      <c r="AI289" s="1960"/>
      <c r="AJ289" s="1960"/>
      <c r="AK289" s="1960"/>
      <c r="BN289" s="61"/>
    </row>
    <row r="290" spans="2:66" ht="12.75" customHeight="1">
      <c r="B290" s="58" t="s">
        <v>93</v>
      </c>
      <c r="C290" s="58"/>
      <c r="D290" s="58"/>
      <c r="E290" s="58"/>
      <c r="F290" s="58"/>
      <c r="G290" s="58"/>
      <c r="H290" s="2139" t="s">
        <v>2469</v>
      </c>
      <c r="I290" s="2139"/>
      <c r="J290" s="2139"/>
      <c r="K290" s="2139"/>
      <c r="L290" s="2139"/>
      <c r="M290" s="2139"/>
      <c r="N290" s="7" t="s">
        <v>212</v>
      </c>
      <c r="O290" s="7"/>
      <c r="P290" s="2028"/>
      <c r="Q290" s="2028"/>
      <c r="R290" s="2028"/>
      <c r="S290" s="58"/>
      <c r="T290" s="58" t="s">
        <v>93</v>
      </c>
      <c r="V290" s="58"/>
      <c r="W290" s="58"/>
      <c r="X290" s="58"/>
      <c r="Y290" s="58"/>
      <c r="AA290" s="2139" t="s">
        <v>2554</v>
      </c>
      <c r="AB290" s="2139"/>
      <c r="AC290" s="2139"/>
      <c r="AD290" s="2139"/>
      <c r="AE290" s="2139"/>
      <c r="AF290" s="2139"/>
      <c r="AG290" s="7" t="s">
        <v>212</v>
      </c>
      <c r="AH290" s="7"/>
      <c r="AI290" s="2028"/>
      <c r="AJ290" s="2028"/>
      <c r="AK290" s="2028"/>
      <c r="BN290" s="61"/>
    </row>
    <row r="291" spans="2:66" ht="12.75" customHeight="1">
      <c r="B291" s="58" t="s">
        <v>94</v>
      </c>
      <c r="C291" s="58"/>
      <c r="D291" s="58"/>
      <c r="E291" s="58"/>
      <c r="F291" s="58"/>
      <c r="G291" s="58"/>
      <c r="H291" s="2022"/>
      <c r="I291" s="2022"/>
      <c r="J291" s="2022"/>
      <c r="K291" s="2022"/>
      <c r="L291" s="2022"/>
      <c r="M291" s="2022"/>
      <c r="N291" s="60"/>
      <c r="O291" s="60"/>
      <c r="P291" s="62"/>
      <c r="Q291" s="62"/>
      <c r="R291" s="62"/>
      <c r="S291" s="58"/>
      <c r="T291" s="58" t="s">
        <v>94</v>
      </c>
      <c r="V291" s="58"/>
      <c r="W291" s="58"/>
      <c r="X291" s="58"/>
      <c r="Y291" s="58"/>
      <c r="AA291" s="2022"/>
      <c r="AB291" s="2022"/>
      <c r="AC291" s="2022"/>
      <c r="AD291" s="2022"/>
      <c r="AE291" s="2022"/>
      <c r="AF291" s="2022"/>
      <c r="AG291" s="60"/>
      <c r="AH291" s="60"/>
      <c r="AI291" s="62"/>
      <c r="AJ291" s="62"/>
      <c r="AK291" s="62"/>
      <c r="BN291" s="61"/>
    </row>
    <row r="292" spans="2:66" ht="12.75" customHeight="1">
      <c r="B292" s="58" t="s">
        <v>80</v>
      </c>
      <c r="C292" s="58"/>
      <c r="D292" s="58"/>
      <c r="E292" s="58"/>
      <c r="F292" s="58"/>
      <c r="G292" s="58"/>
      <c r="H292" s="1960" t="s">
        <v>2470</v>
      </c>
      <c r="I292" s="1960"/>
      <c r="J292" s="1960"/>
      <c r="K292" s="1960"/>
      <c r="L292" s="1960"/>
      <c r="M292" s="1960"/>
      <c r="N292" s="1955"/>
      <c r="O292" s="1955"/>
      <c r="P292" s="1955"/>
      <c r="Q292" s="1955"/>
      <c r="R292" s="1955"/>
      <c r="S292" s="58"/>
      <c r="T292" s="58" t="s">
        <v>80</v>
      </c>
      <c r="V292" s="58"/>
      <c r="W292" s="58"/>
      <c r="X292" s="58"/>
      <c r="Y292" s="58"/>
      <c r="AA292" s="1960" t="s">
        <v>2555</v>
      </c>
      <c r="AB292" s="1960"/>
      <c r="AC292" s="1960"/>
      <c r="AD292" s="1960"/>
      <c r="AE292" s="1960"/>
      <c r="AF292" s="1960"/>
      <c r="AG292" s="1955"/>
      <c r="AH292" s="1955"/>
      <c r="AI292" s="1955"/>
      <c r="AJ292" s="1955"/>
      <c r="AK292" s="1955"/>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73" t="s">
        <v>2474</v>
      </c>
      <c r="I294" s="1955"/>
      <c r="J294" s="1955"/>
      <c r="K294" s="1955"/>
      <c r="L294" s="1955"/>
      <c r="M294" s="1955"/>
      <c r="N294" s="1955"/>
      <c r="O294" s="1955"/>
      <c r="P294" s="1955"/>
      <c r="Q294" s="1955"/>
      <c r="R294" s="1955"/>
      <c r="T294" s="58" t="s">
        <v>376</v>
      </c>
      <c r="V294" s="58"/>
      <c r="W294" s="58"/>
      <c r="X294" s="58"/>
      <c r="Y294" s="58"/>
      <c r="AA294" s="2073" t="s">
        <v>2533</v>
      </c>
      <c r="AB294" s="1955"/>
      <c r="AC294" s="1955"/>
      <c r="AD294" s="1955"/>
      <c r="AE294" s="1955"/>
      <c r="AF294" s="1955"/>
      <c r="AG294" s="1955"/>
      <c r="AH294" s="1955"/>
      <c r="AI294" s="1955"/>
      <c r="AJ294" s="1955"/>
      <c r="AK294" s="1955"/>
      <c r="BN294" s="61"/>
    </row>
    <row r="295" spans="2:66" ht="13.2">
      <c r="B295" s="58" t="s">
        <v>505</v>
      </c>
      <c r="C295" s="58"/>
      <c r="D295" s="58"/>
      <c r="E295" s="58"/>
      <c r="F295" s="58"/>
      <c r="H295" s="1959" t="s">
        <v>2475</v>
      </c>
      <c r="I295" s="1960"/>
      <c r="J295" s="1960"/>
      <c r="K295" s="1960"/>
      <c r="L295" s="1960"/>
      <c r="M295" s="1960"/>
      <c r="N295" s="1960"/>
      <c r="O295" s="1960"/>
      <c r="P295" s="1960"/>
      <c r="Q295" s="1960"/>
      <c r="R295" s="1960"/>
      <c r="T295" s="58" t="s">
        <v>505</v>
      </c>
      <c r="V295" s="58"/>
      <c r="W295" s="58"/>
      <c r="X295" s="58"/>
      <c r="Y295" s="58"/>
      <c r="AA295" s="1959" t="s">
        <v>2556</v>
      </c>
      <c r="AB295" s="1960"/>
      <c r="AC295" s="1960"/>
      <c r="AD295" s="1960"/>
      <c r="AE295" s="1960"/>
      <c r="AF295" s="1960"/>
      <c r="AG295" s="1960"/>
      <c r="AH295" s="1960"/>
      <c r="AI295" s="1960"/>
      <c r="AJ295" s="1960"/>
      <c r="AK295" s="1960"/>
      <c r="BN295" s="61"/>
    </row>
    <row r="296" spans="2:66" ht="13.2">
      <c r="B296" s="58" t="s">
        <v>506</v>
      </c>
      <c r="C296" s="58"/>
      <c r="D296" s="58"/>
      <c r="E296" s="58"/>
      <c r="F296" s="58"/>
      <c r="H296" s="1960" t="s">
        <v>2476</v>
      </c>
      <c r="I296" s="1960"/>
      <c r="J296" s="1960"/>
      <c r="K296" s="1960"/>
      <c r="L296" s="1960"/>
      <c r="M296" s="1960"/>
      <c r="N296" s="1960"/>
      <c r="O296" s="1960"/>
      <c r="P296" s="1960"/>
      <c r="Q296" s="1960"/>
      <c r="R296" s="1960"/>
      <c r="T296" s="58" t="s">
        <v>79</v>
      </c>
      <c r="V296" s="58"/>
      <c r="W296" s="58"/>
      <c r="X296" s="58"/>
      <c r="Y296" s="58"/>
      <c r="AA296" s="1959" t="s">
        <v>2557</v>
      </c>
      <c r="AB296" s="1960"/>
      <c r="AC296" s="1960"/>
      <c r="AD296" s="1960"/>
      <c r="AE296" s="1960"/>
      <c r="AF296" s="1960"/>
      <c r="AG296" s="1960"/>
      <c r="AH296" s="1960"/>
      <c r="AI296" s="1960"/>
      <c r="AJ296" s="1960"/>
      <c r="AK296" s="1960"/>
      <c r="BN296" s="61"/>
    </row>
    <row r="297" spans="2:66" ht="13.2">
      <c r="B297" s="58" t="s">
        <v>92</v>
      </c>
      <c r="C297" s="58"/>
      <c r="D297" s="58"/>
      <c r="E297" s="58"/>
      <c r="F297" s="58"/>
      <c r="H297" s="1960" t="s">
        <v>2477</v>
      </c>
      <c r="I297" s="1960"/>
      <c r="J297" s="1960"/>
      <c r="K297" s="1960"/>
      <c r="L297" s="1960"/>
      <c r="M297" s="1960"/>
      <c r="N297" s="1960"/>
      <c r="O297" s="1960"/>
      <c r="P297" s="1960"/>
      <c r="Q297" s="1960"/>
      <c r="R297" s="1960"/>
      <c r="T297" s="58" t="s">
        <v>92</v>
      </c>
      <c r="V297" s="58"/>
      <c r="W297" s="58"/>
      <c r="X297" s="58"/>
      <c r="Y297" s="58"/>
      <c r="AA297" s="1960" t="s">
        <v>2558</v>
      </c>
      <c r="AB297" s="1960"/>
      <c r="AC297" s="1960"/>
      <c r="AD297" s="1960"/>
      <c r="AE297" s="1960"/>
      <c r="AF297" s="1960"/>
      <c r="AG297" s="1960"/>
      <c r="AH297" s="1960"/>
      <c r="AI297" s="1960"/>
      <c r="AJ297" s="1960"/>
      <c r="AK297" s="1960"/>
      <c r="BN297" s="61"/>
    </row>
    <row r="298" spans="2:66" ht="13.2">
      <c r="B298" s="58" t="s">
        <v>93</v>
      </c>
      <c r="C298" s="58"/>
      <c r="D298" s="58"/>
      <c r="E298" s="58"/>
      <c r="F298" s="58"/>
      <c r="G298" s="58"/>
      <c r="H298" s="2139" t="s">
        <v>2478</v>
      </c>
      <c r="I298" s="2139"/>
      <c r="J298" s="2139"/>
      <c r="K298" s="2139"/>
      <c r="L298" s="2139"/>
      <c r="M298" s="2139"/>
      <c r="N298" s="7" t="s">
        <v>212</v>
      </c>
      <c r="O298" s="7"/>
      <c r="P298" s="2028"/>
      <c r="Q298" s="2028"/>
      <c r="R298" s="2028"/>
      <c r="S298" s="58"/>
      <c r="T298" s="58" t="s">
        <v>93</v>
      </c>
      <c r="V298" s="58"/>
      <c r="W298" s="58"/>
      <c r="X298" s="58"/>
      <c r="Y298" s="58"/>
      <c r="AA298" s="2152" t="s">
        <v>2559</v>
      </c>
      <c r="AB298" s="2139"/>
      <c r="AC298" s="2139"/>
      <c r="AD298" s="2139"/>
      <c r="AE298" s="2139"/>
      <c r="AF298" s="2139"/>
      <c r="AG298" s="7" t="s">
        <v>212</v>
      </c>
      <c r="AH298" s="7"/>
      <c r="AI298" s="2028"/>
      <c r="AJ298" s="2028"/>
      <c r="AK298" s="2028"/>
      <c r="BN298" s="61"/>
    </row>
    <row r="299" spans="2:66" ht="12.75" customHeight="1">
      <c r="B299" s="58" t="s">
        <v>94</v>
      </c>
      <c r="C299" s="58"/>
      <c r="D299" s="58"/>
      <c r="E299" s="58"/>
      <c r="F299" s="58"/>
      <c r="G299" s="58"/>
      <c r="H299" s="2022"/>
      <c r="I299" s="2022"/>
      <c r="J299" s="2022"/>
      <c r="K299" s="2022"/>
      <c r="L299" s="2022"/>
      <c r="M299" s="2022"/>
      <c r="N299" s="60"/>
      <c r="O299" s="60"/>
      <c r="P299" s="62"/>
      <c r="Q299" s="62"/>
      <c r="R299" s="62"/>
      <c r="S299" s="58"/>
      <c r="T299" s="58" t="s">
        <v>94</v>
      </c>
      <c r="V299" s="58"/>
      <c r="W299" s="58"/>
      <c r="X299" s="58"/>
      <c r="Y299" s="58"/>
      <c r="AA299" s="1954"/>
      <c r="AB299" s="1954"/>
      <c r="AC299" s="1954"/>
      <c r="AD299" s="1954"/>
      <c r="AE299" s="1954"/>
      <c r="AF299" s="1954"/>
      <c r="AG299" s="60"/>
      <c r="AH299" s="60"/>
      <c r="AI299" s="62"/>
      <c r="AJ299" s="62"/>
      <c r="AK299" s="62"/>
      <c r="BN299" s="61"/>
    </row>
    <row r="300" spans="2:66" ht="12.75" customHeight="1">
      <c r="B300" s="58" t="s">
        <v>80</v>
      </c>
      <c r="C300" s="58"/>
      <c r="D300" s="58"/>
      <c r="E300" s="58"/>
      <c r="F300" s="58"/>
      <c r="G300" s="58"/>
      <c r="H300" s="1960" t="s">
        <v>2479</v>
      </c>
      <c r="I300" s="1960"/>
      <c r="J300" s="1960"/>
      <c r="K300" s="1960"/>
      <c r="L300" s="1960"/>
      <c r="M300" s="1960"/>
      <c r="N300" s="1955"/>
      <c r="O300" s="1955"/>
      <c r="P300" s="1955"/>
      <c r="Q300" s="1955"/>
      <c r="R300" s="1955"/>
      <c r="S300" s="58"/>
      <c r="T300" s="58" t="s">
        <v>80</v>
      </c>
      <c r="V300" s="58"/>
      <c r="W300" s="58"/>
      <c r="X300" s="58"/>
      <c r="Y300" s="58"/>
      <c r="AA300" s="1959" t="s">
        <v>2560</v>
      </c>
      <c r="AB300" s="1960"/>
      <c r="AC300" s="1960"/>
      <c r="AD300" s="1960"/>
      <c r="AE300" s="1960"/>
      <c r="AF300" s="1960"/>
      <c r="AG300" s="1955"/>
      <c r="AH300" s="1955"/>
      <c r="AI300" s="1955"/>
      <c r="AJ300" s="1955"/>
      <c r="AK300" s="1955"/>
      <c r="BN300" s="61"/>
    </row>
    <row r="301" spans="2:66" ht="12.75" customHeight="1">
      <c r="BN301" s="61"/>
    </row>
    <row r="302" spans="2:66" ht="12.75" customHeight="1">
      <c r="B302" s="58" t="s">
        <v>81</v>
      </c>
      <c r="C302" s="58"/>
      <c r="D302" s="58"/>
      <c r="E302" s="58"/>
      <c r="F302" s="58"/>
      <c r="H302" s="2073" t="s">
        <v>2474</v>
      </c>
      <c r="I302" s="1955"/>
      <c r="J302" s="1955"/>
      <c r="K302" s="1955"/>
      <c r="L302" s="1955"/>
      <c r="M302" s="1955"/>
      <c r="N302" s="1955"/>
      <c r="O302" s="1955"/>
      <c r="P302" s="1955"/>
      <c r="Q302" s="1955"/>
      <c r="R302" s="1955"/>
      <c r="T302" s="7" t="s">
        <v>946</v>
      </c>
      <c r="V302" s="58"/>
      <c r="W302" s="58"/>
      <c r="X302" s="58"/>
      <c r="Y302" s="58"/>
      <c r="AA302" s="1955" t="s">
        <v>2480</v>
      </c>
      <c r="AB302" s="1955"/>
      <c r="AC302" s="1955"/>
      <c r="AD302" s="1955"/>
      <c r="AE302" s="1955"/>
      <c r="AF302" s="1955"/>
      <c r="AG302" s="1955"/>
      <c r="AH302" s="1955"/>
      <c r="AI302" s="1955"/>
      <c r="AJ302" s="1955"/>
      <c r="AK302" s="1955"/>
      <c r="BN302" s="61"/>
    </row>
    <row r="303" spans="2:66" ht="13.2">
      <c r="B303" s="58" t="s">
        <v>505</v>
      </c>
      <c r="C303" s="58"/>
      <c r="D303" s="58"/>
      <c r="E303" s="58"/>
      <c r="F303" s="58"/>
      <c r="H303" s="1959" t="s">
        <v>2475</v>
      </c>
      <c r="I303" s="1960"/>
      <c r="J303" s="1960"/>
      <c r="K303" s="1960"/>
      <c r="L303" s="1960"/>
      <c r="M303" s="1960"/>
      <c r="N303" s="1960"/>
      <c r="O303" s="1960"/>
      <c r="P303" s="1960"/>
      <c r="Q303" s="1960"/>
      <c r="R303" s="1960"/>
      <c r="T303" s="58" t="s">
        <v>505</v>
      </c>
      <c r="V303" s="58"/>
      <c r="W303" s="58"/>
      <c r="X303" s="58"/>
      <c r="Y303" s="58"/>
      <c r="AA303" s="1960" t="s">
        <v>2481</v>
      </c>
      <c r="AB303" s="1960"/>
      <c r="AC303" s="1960"/>
      <c r="AD303" s="1960"/>
      <c r="AE303" s="1960"/>
      <c r="AF303" s="1960"/>
      <c r="AG303" s="1960"/>
      <c r="AH303" s="1960"/>
      <c r="AI303" s="1960"/>
      <c r="AJ303" s="1960"/>
      <c r="AK303" s="1960"/>
      <c r="BN303" s="61"/>
    </row>
    <row r="304" spans="2:66" ht="13.2">
      <c r="B304" s="58" t="s">
        <v>506</v>
      </c>
      <c r="C304" s="58"/>
      <c r="D304" s="58"/>
      <c r="E304" s="58"/>
      <c r="F304" s="58"/>
      <c r="H304" s="1960" t="s">
        <v>2476</v>
      </c>
      <c r="I304" s="1960"/>
      <c r="J304" s="1960"/>
      <c r="K304" s="1960"/>
      <c r="L304" s="1960"/>
      <c r="M304" s="1960"/>
      <c r="N304" s="1960"/>
      <c r="O304" s="1960"/>
      <c r="P304" s="1960"/>
      <c r="Q304" s="1960"/>
      <c r="R304" s="1960"/>
      <c r="T304" s="58" t="s">
        <v>79</v>
      </c>
      <c r="V304" s="58"/>
      <c r="W304" s="58"/>
      <c r="X304" s="58"/>
      <c r="Y304" s="58"/>
      <c r="AA304" s="1960" t="s">
        <v>2482</v>
      </c>
      <c r="AB304" s="1960"/>
      <c r="AC304" s="1960"/>
      <c r="AD304" s="1960"/>
      <c r="AE304" s="1960"/>
      <c r="AF304" s="1960"/>
      <c r="AG304" s="1960"/>
      <c r="AH304" s="1960"/>
      <c r="AI304" s="1960"/>
      <c r="AJ304" s="1960"/>
      <c r="AK304" s="1960"/>
      <c r="BN304" s="61"/>
    </row>
    <row r="305" spans="2:66" ht="13.2">
      <c r="B305" s="58" t="s">
        <v>92</v>
      </c>
      <c r="C305" s="58"/>
      <c r="D305" s="58"/>
      <c r="E305" s="58"/>
      <c r="F305" s="58"/>
      <c r="H305" s="1960" t="s">
        <v>2477</v>
      </c>
      <c r="I305" s="1960"/>
      <c r="J305" s="1960"/>
      <c r="K305" s="1960"/>
      <c r="L305" s="1960"/>
      <c r="M305" s="1960"/>
      <c r="N305" s="1960"/>
      <c r="O305" s="1960"/>
      <c r="P305" s="1960"/>
      <c r="Q305" s="1960"/>
      <c r="R305" s="1960"/>
      <c r="T305" s="58" t="s">
        <v>92</v>
      </c>
      <c r="V305" s="58"/>
      <c r="W305" s="58"/>
      <c r="X305" s="58"/>
      <c r="Y305" s="58"/>
      <c r="AA305" s="1960" t="s">
        <v>2483</v>
      </c>
      <c r="AB305" s="1960"/>
      <c r="AC305" s="1960"/>
      <c r="AD305" s="1960"/>
      <c r="AE305" s="1960"/>
      <c r="AF305" s="1960"/>
      <c r="AG305" s="1960"/>
      <c r="AH305" s="1960"/>
      <c r="AI305" s="1960"/>
      <c r="AJ305" s="1960"/>
      <c r="AK305" s="1960"/>
      <c r="BN305" s="61"/>
    </row>
    <row r="306" spans="2:66" ht="13.2">
      <c r="B306" s="58" t="s">
        <v>93</v>
      </c>
      <c r="C306" s="58"/>
      <c r="D306" s="58"/>
      <c r="E306" s="58"/>
      <c r="F306" s="58"/>
      <c r="G306" s="58"/>
      <c r="H306" s="2139" t="s">
        <v>2478</v>
      </c>
      <c r="I306" s="2139"/>
      <c r="J306" s="2139"/>
      <c r="K306" s="2139"/>
      <c r="L306" s="2139"/>
      <c r="M306" s="2139"/>
      <c r="N306" s="7" t="s">
        <v>212</v>
      </c>
      <c r="O306" s="7"/>
      <c r="P306" s="2028"/>
      <c r="Q306" s="2028"/>
      <c r="R306" s="2028"/>
      <c r="S306" s="58"/>
      <c r="T306" s="58" t="s">
        <v>93</v>
      </c>
      <c r="V306" s="58"/>
      <c r="W306" s="58"/>
      <c r="X306" s="58"/>
      <c r="Y306" s="58"/>
      <c r="AA306" s="2139" t="s">
        <v>2484</v>
      </c>
      <c r="AB306" s="2139"/>
      <c r="AC306" s="2139"/>
      <c r="AD306" s="2139"/>
      <c r="AE306" s="2139"/>
      <c r="AF306" s="2139"/>
      <c r="AG306" s="7" t="s">
        <v>212</v>
      </c>
      <c r="AH306" s="7"/>
      <c r="AI306" s="2028"/>
      <c r="AJ306" s="2028"/>
      <c r="AK306" s="2028"/>
      <c r="BN306" s="61"/>
    </row>
    <row r="307" spans="2:66" ht="13.2">
      <c r="B307" s="58" t="s">
        <v>94</v>
      </c>
      <c r="C307" s="58"/>
      <c r="D307" s="58"/>
      <c r="E307" s="58"/>
      <c r="F307" s="58"/>
      <c r="G307" s="58"/>
      <c r="H307" s="2022"/>
      <c r="I307" s="2022"/>
      <c r="J307" s="2022"/>
      <c r="K307" s="2022"/>
      <c r="L307" s="2022"/>
      <c r="M307" s="2022"/>
      <c r="N307" s="60"/>
      <c r="O307" s="60"/>
      <c r="P307" s="62"/>
      <c r="Q307" s="62"/>
      <c r="R307" s="62"/>
      <c r="S307" s="58"/>
      <c r="T307" s="58" t="s">
        <v>94</v>
      </c>
      <c r="V307" s="58"/>
      <c r="W307" s="58"/>
      <c r="X307" s="58"/>
      <c r="Y307" s="58"/>
      <c r="AA307" s="1954" t="s">
        <v>2485</v>
      </c>
      <c r="AB307" s="1954"/>
      <c r="AC307" s="1954"/>
      <c r="AD307" s="1954"/>
      <c r="AE307" s="1954"/>
      <c r="AF307" s="1954"/>
      <c r="AG307" s="60"/>
      <c r="AH307" s="60"/>
      <c r="AI307" s="62"/>
      <c r="AJ307" s="62"/>
      <c r="AK307" s="62"/>
      <c r="BN307" s="61"/>
    </row>
    <row r="308" spans="2:66" ht="13.2">
      <c r="B308" s="58" t="s">
        <v>80</v>
      </c>
      <c r="C308" s="58"/>
      <c r="D308" s="58"/>
      <c r="E308" s="58"/>
      <c r="F308" s="58"/>
      <c r="G308" s="58"/>
      <c r="H308" s="1960" t="s">
        <v>2479</v>
      </c>
      <c r="I308" s="1960"/>
      <c r="J308" s="1960"/>
      <c r="K308" s="1960"/>
      <c r="L308" s="1960"/>
      <c r="M308" s="1960"/>
      <c r="N308" s="1955"/>
      <c r="O308" s="1955"/>
      <c r="P308" s="1955"/>
      <c r="Q308" s="1955"/>
      <c r="R308" s="1955"/>
      <c r="S308" s="58"/>
      <c r="T308" s="58" t="s">
        <v>80</v>
      </c>
      <c r="V308" s="58"/>
      <c r="W308" s="58"/>
      <c r="X308" s="58"/>
      <c r="Y308" s="58"/>
      <c r="AA308" s="1960" t="s">
        <v>2486</v>
      </c>
      <c r="AB308" s="1960"/>
      <c r="AC308" s="1960"/>
      <c r="AD308" s="1960"/>
      <c r="AE308" s="1960"/>
      <c r="AF308" s="1960"/>
      <c r="AG308" s="1955"/>
      <c r="AH308" s="1955"/>
      <c r="AI308" s="1955"/>
      <c r="AJ308" s="1955"/>
      <c r="AK308" s="1955"/>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979</v>
      </c>
      <c r="C310" s="58"/>
      <c r="D310" s="58"/>
      <c r="E310" s="58"/>
      <c r="F310" s="58"/>
      <c r="H310" s="2073" t="s">
        <v>2487</v>
      </c>
      <c r="I310" s="1955"/>
      <c r="J310" s="1955"/>
      <c r="K310" s="1955"/>
      <c r="L310" s="1955"/>
      <c r="M310" s="1955"/>
      <c r="N310" s="1955"/>
      <c r="O310" s="1955"/>
      <c r="P310" s="1955"/>
      <c r="Q310" s="1955"/>
      <c r="R310" s="1955"/>
      <c r="S310" s="58"/>
      <c r="T310" s="58" t="s">
        <v>377</v>
      </c>
      <c r="V310" s="58"/>
      <c r="W310" s="58"/>
      <c r="X310" s="58"/>
      <c r="Y310" s="58"/>
      <c r="AA310" s="2073" t="s">
        <v>2581</v>
      </c>
      <c r="AB310" s="1955"/>
      <c r="AC310" s="1955"/>
      <c r="AD310" s="1955"/>
      <c r="AE310" s="1955"/>
      <c r="AF310" s="1955"/>
      <c r="AG310" s="1955"/>
      <c r="AH310" s="1955"/>
      <c r="AI310" s="1955"/>
      <c r="AJ310" s="1955"/>
      <c r="AK310" s="1955"/>
      <c r="BN310" s="61"/>
    </row>
    <row r="311" spans="2:66" ht="13.2">
      <c r="B311" s="58" t="s">
        <v>505</v>
      </c>
      <c r="C311" s="58"/>
      <c r="D311" s="58"/>
      <c r="E311" s="58"/>
      <c r="F311" s="58"/>
      <c r="H311" s="1959" t="s">
        <v>2604</v>
      </c>
      <c r="I311" s="1960"/>
      <c r="J311" s="1960"/>
      <c r="K311" s="1960"/>
      <c r="L311" s="1960"/>
      <c r="M311" s="1960"/>
      <c r="N311" s="1960"/>
      <c r="O311" s="1960"/>
      <c r="P311" s="1960"/>
      <c r="Q311" s="1960"/>
      <c r="R311" s="1960"/>
      <c r="S311" s="58"/>
      <c r="T311" s="58" t="s">
        <v>505</v>
      </c>
      <c r="V311" s="58"/>
      <c r="W311" s="58"/>
      <c r="X311" s="58"/>
      <c r="Y311" s="58"/>
      <c r="AA311" s="1959" t="s">
        <v>2582</v>
      </c>
      <c r="AB311" s="1960"/>
      <c r="AC311" s="1960"/>
      <c r="AD311" s="1960"/>
      <c r="AE311" s="1960"/>
      <c r="AF311" s="1960"/>
      <c r="AG311" s="1960"/>
      <c r="AH311" s="1960"/>
      <c r="AI311" s="1960"/>
      <c r="AJ311" s="1960"/>
      <c r="AK311" s="1960"/>
      <c r="BN311" s="61"/>
    </row>
    <row r="312" spans="2:66" ht="12.75" customHeight="1">
      <c r="B312" s="58" t="s">
        <v>506</v>
      </c>
      <c r="C312" s="58"/>
      <c r="D312" s="58"/>
      <c r="E312" s="58"/>
      <c r="F312" s="58"/>
      <c r="H312" s="1959" t="s">
        <v>2605</v>
      </c>
      <c r="I312" s="1960"/>
      <c r="J312" s="1960"/>
      <c r="K312" s="1960"/>
      <c r="L312" s="1960"/>
      <c r="M312" s="1960"/>
      <c r="N312" s="1960"/>
      <c r="O312" s="1960"/>
      <c r="P312" s="1960"/>
      <c r="Q312" s="1960"/>
      <c r="R312" s="1960"/>
      <c r="S312" s="58"/>
      <c r="T312" s="58" t="s">
        <v>79</v>
      </c>
      <c r="V312" s="58"/>
      <c r="W312" s="58"/>
      <c r="X312" s="58"/>
      <c r="Y312" s="58"/>
      <c r="AA312" s="1959" t="s">
        <v>2583</v>
      </c>
      <c r="AB312" s="1960"/>
      <c r="AC312" s="1960"/>
      <c r="AD312" s="1960"/>
      <c r="AE312" s="1960"/>
      <c r="AF312" s="1960"/>
      <c r="AG312" s="1960"/>
      <c r="AH312" s="1960"/>
      <c r="AI312" s="1960"/>
      <c r="AJ312" s="1960"/>
      <c r="AK312" s="1960"/>
      <c r="BN312" s="61"/>
    </row>
    <row r="313" spans="2:66" ht="13.2">
      <c r="B313" s="58" t="s">
        <v>92</v>
      </c>
      <c r="C313" s="58"/>
      <c r="D313" s="58"/>
      <c r="E313" s="58"/>
      <c r="F313" s="58"/>
      <c r="H313" s="1959" t="s">
        <v>2593</v>
      </c>
      <c r="I313" s="1960"/>
      <c r="J313" s="1960"/>
      <c r="K313" s="1960"/>
      <c r="L313" s="1960"/>
      <c r="M313" s="1960"/>
      <c r="N313" s="1960"/>
      <c r="O313" s="1960"/>
      <c r="P313" s="1960"/>
      <c r="Q313" s="1960"/>
      <c r="R313" s="1960"/>
      <c r="S313" s="58"/>
      <c r="T313" s="58" t="s">
        <v>92</v>
      </c>
      <c r="V313" s="58"/>
      <c r="W313" s="58"/>
      <c r="X313" s="58"/>
      <c r="Y313" s="58"/>
      <c r="AA313" s="1959" t="s">
        <v>2584</v>
      </c>
      <c r="AB313" s="1960"/>
      <c r="AC313" s="1960"/>
      <c r="AD313" s="1960"/>
      <c r="AE313" s="1960"/>
      <c r="AF313" s="1960"/>
      <c r="AG313" s="1960"/>
      <c r="AH313" s="1960"/>
      <c r="AI313" s="1960"/>
      <c r="AJ313" s="1960"/>
      <c r="AK313" s="1960"/>
      <c r="BN313" s="61"/>
    </row>
    <row r="314" spans="2:66" ht="13.2">
      <c r="B314" s="58" t="s">
        <v>93</v>
      </c>
      <c r="C314" s="58"/>
      <c r="D314" s="58"/>
      <c r="E314" s="58"/>
      <c r="F314" s="58"/>
      <c r="G314" s="58"/>
      <c r="H314" s="2139" t="s">
        <v>2603</v>
      </c>
      <c r="I314" s="2139"/>
      <c r="J314" s="2139"/>
      <c r="K314" s="2139"/>
      <c r="L314" s="2139"/>
      <c r="M314" s="2139"/>
      <c r="N314" s="7" t="s">
        <v>212</v>
      </c>
      <c r="O314" s="7"/>
      <c r="P314" s="2028"/>
      <c r="Q314" s="2028"/>
      <c r="R314" s="2028"/>
      <c r="S314" s="58"/>
      <c r="T314" s="58" t="s">
        <v>93</v>
      </c>
      <c r="V314" s="58"/>
      <c r="W314" s="58"/>
      <c r="X314" s="58"/>
      <c r="Y314" s="58"/>
      <c r="AA314" s="1954" t="s">
        <v>2585</v>
      </c>
      <c r="AB314" s="1954"/>
      <c r="AC314" s="1954"/>
      <c r="AD314" s="1954"/>
      <c r="AE314" s="1954"/>
      <c r="AF314" s="1954"/>
      <c r="AG314" s="7" t="s">
        <v>212</v>
      </c>
      <c r="AH314" s="7"/>
      <c r="AI314" s="2028"/>
      <c r="AJ314" s="2028"/>
      <c r="AK314" s="2028"/>
      <c r="BN314" s="61"/>
    </row>
    <row r="315" spans="2:66" ht="13.2">
      <c r="B315" s="58" t="s">
        <v>94</v>
      </c>
      <c r="C315" s="58"/>
      <c r="D315" s="58"/>
      <c r="E315" s="58"/>
      <c r="F315" s="58"/>
      <c r="G315" s="58"/>
      <c r="H315" s="2022"/>
      <c r="I315" s="2022"/>
      <c r="J315" s="2022"/>
      <c r="K315" s="2022"/>
      <c r="L315" s="2022"/>
      <c r="M315" s="2022"/>
      <c r="N315" s="60"/>
      <c r="O315" s="60"/>
      <c r="P315" s="62"/>
      <c r="Q315" s="62"/>
      <c r="R315" s="62"/>
      <c r="S315" s="58"/>
      <c r="T315" s="58" t="s">
        <v>94</v>
      </c>
      <c r="V315" s="58"/>
      <c r="W315" s="58"/>
      <c r="X315" s="58"/>
      <c r="Y315" s="58"/>
      <c r="AA315" s="2022"/>
      <c r="AB315" s="2022"/>
      <c r="AC315" s="2022"/>
      <c r="AD315" s="2022"/>
      <c r="AE315" s="2022"/>
      <c r="AF315" s="2022"/>
      <c r="AG315" s="60"/>
      <c r="AH315" s="60"/>
      <c r="AI315" s="62"/>
      <c r="AJ315" s="62"/>
      <c r="AK315" s="62"/>
      <c r="BN315" s="61"/>
    </row>
    <row r="316" spans="2:66" ht="13.2">
      <c r="B316" s="58" t="s">
        <v>80</v>
      </c>
      <c r="C316" s="58"/>
      <c r="D316" s="58"/>
      <c r="E316" s="58"/>
      <c r="F316" s="58"/>
      <c r="G316" s="58"/>
      <c r="H316" s="1959" t="s">
        <v>2594</v>
      </c>
      <c r="I316" s="1960"/>
      <c r="J316" s="1960"/>
      <c r="K316" s="1960"/>
      <c r="L316" s="1960"/>
      <c r="M316" s="1960"/>
      <c r="N316" s="1955"/>
      <c r="O316" s="1955"/>
      <c r="P316" s="1955"/>
      <c r="Q316" s="1955"/>
      <c r="R316" s="1955"/>
      <c r="S316" s="58"/>
      <c r="T316" s="58" t="s">
        <v>80</v>
      </c>
      <c r="V316" s="58"/>
      <c r="W316" s="58"/>
      <c r="X316" s="58"/>
      <c r="Y316" s="58"/>
      <c r="AA316" s="1959" t="s">
        <v>2586</v>
      </c>
      <c r="AB316" s="1960"/>
      <c r="AC316" s="1960"/>
      <c r="AD316" s="1960"/>
      <c r="AE316" s="1960"/>
      <c r="AF316" s="1960"/>
      <c r="AG316" s="1955"/>
      <c r="AH316" s="1955"/>
      <c r="AI316" s="1955"/>
      <c r="AJ316" s="1955"/>
      <c r="AK316" s="1955"/>
      <c r="BN316" s="61"/>
    </row>
    <row r="317" spans="2:66" ht="13.2">
      <c r="BN317" s="61"/>
    </row>
    <row r="318" spans="2:66" ht="13.2">
      <c r="B318" s="7" t="s">
        <v>980</v>
      </c>
      <c r="C318" s="58"/>
      <c r="D318" s="58"/>
      <c r="E318" s="58"/>
      <c r="F318" s="58"/>
      <c r="H318" s="1955" t="s">
        <v>2487</v>
      </c>
      <c r="I318" s="1955"/>
      <c r="J318" s="1955"/>
      <c r="K318" s="1955"/>
      <c r="L318" s="1955"/>
      <c r="M318" s="1955"/>
      <c r="N318" s="1955"/>
      <c r="O318" s="1955"/>
      <c r="P318" s="1955"/>
      <c r="Q318" s="1955"/>
      <c r="R318" s="1955"/>
      <c r="T318" s="58" t="s">
        <v>378</v>
      </c>
      <c r="V318" s="58"/>
      <c r="W318" s="58"/>
      <c r="X318" s="58"/>
      <c r="Y318" s="58"/>
      <c r="AA318" s="2073" t="s">
        <v>2487</v>
      </c>
      <c r="AB318" s="1955"/>
      <c r="AC318" s="1955"/>
      <c r="AD318" s="1955"/>
      <c r="AE318" s="1955"/>
      <c r="AF318" s="1955"/>
      <c r="AG318" s="1955"/>
      <c r="AH318" s="1955"/>
      <c r="AI318" s="1955"/>
      <c r="AJ318" s="1955"/>
      <c r="AK318" s="1955"/>
      <c r="BN318" s="61"/>
    </row>
    <row r="319" spans="2:66" ht="13.2">
      <c r="B319" s="58" t="s">
        <v>505</v>
      </c>
      <c r="C319" s="58"/>
      <c r="D319" s="58"/>
      <c r="E319" s="58"/>
      <c r="F319" s="58"/>
      <c r="H319" s="1959" t="s">
        <v>2604</v>
      </c>
      <c r="I319" s="1960"/>
      <c r="J319" s="1960"/>
      <c r="K319" s="1960"/>
      <c r="L319" s="1960"/>
      <c r="M319" s="1960"/>
      <c r="N319" s="1960"/>
      <c r="O319" s="1960"/>
      <c r="P319" s="1960"/>
      <c r="Q319" s="1960"/>
      <c r="R319" s="1960"/>
      <c r="T319" s="58" t="s">
        <v>505</v>
      </c>
      <c r="V319" s="58"/>
      <c r="W319" s="58"/>
      <c r="X319" s="58"/>
      <c r="Y319" s="58"/>
      <c r="AA319" s="1959" t="s">
        <v>2488</v>
      </c>
      <c r="AB319" s="1960"/>
      <c r="AC319" s="1960"/>
      <c r="AD319" s="1960"/>
      <c r="AE319" s="1960"/>
      <c r="AF319" s="1960"/>
      <c r="AG319" s="1960"/>
      <c r="AH319" s="1960"/>
      <c r="AI319" s="1960"/>
      <c r="AJ319" s="1960"/>
      <c r="AK319" s="1960"/>
      <c r="BN319" s="61"/>
    </row>
    <row r="320" spans="2:66" ht="13.2">
      <c r="B320" s="58" t="s">
        <v>506</v>
      </c>
      <c r="C320" s="58"/>
      <c r="D320" s="58"/>
      <c r="E320" s="58"/>
      <c r="F320" s="58"/>
      <c r="H320" s="1959" t="s">
        <v>2605</v>
      </c>
      <c r="I320" s="1960"/>
      <c r="J320" s="1960"/>
      <c r="K320" s="1960"/>
      <c r="L320" s="1960"/>
      <c r="M320" s="1960"/>
      <c r="N320" s="1960"/>
      <c r="O320" s="1960"/>
      <c r="P320" s="1960"/>
      <c r="Q320" s="1960"/>
      <c r="R320" s="1960"/>
      <c r="T320" s="58" t="s">
        <v>79</v>
      </c>
      <c r="V320" s="58"/>
      <c r="W320" s="58"/>
      <c r="X320" s="58"/>
      <c r="Y320" s="58"/>
      <c r="AA320" s="1959" t="s">
        <v>2489</v>
      </c>
      <c r="AB320" s="1960"/>
      <c r="AC320" s="1960"/>
      <c r="AD320" s="1960"/>
      <c r="AE320" s="1960"/>
      <c r="AF320" s="1960"/>
      <c r="AG320" s="1960"/>
      <c r="AH320" s="1960"/>
      <c r="AI320" s="1960"/>
      <c r="AJ320" s="1960"/>
      <c r="AK320" s="1960"/>
      <c r="BN320" s="61"/>
    </row>
    <row r="321" spans="1:66" ht="12.75" customHeight="1">
      <c r="A321" s="39"/>
      <c r="B321" s="58" t="s">
        <v>92</v>
      </c>
      <c r="C321" s="58"/>
      <c r="D321" s="58"/>
      <c r="E321" s="58"/>
      <c r="F321" s="58"/>
      <c r="H321" s="1959" t="s">
        <v>2593</v>
      </c>
      <c r="I321" s="1960"/>
      <c r="J321" s="1960"/>
      <c r="K321" s="1960"/>
      <c r="L321" s="1960"/>
      <c r="M321" s="1960"/>
      <c r="N321" s="1960"/>
      <c r="O321" s="1960"/>
      <c r="P321" s="1960"/>
      <c r="Q321" s="1960"/>
      <c r="R321" s="1960"/>
      <c r="T321" s="58" t="s">
        <v>92</v>
      </c>
      <c r="V321" s="58"/>
      <c r="W321" s="58"/>
      <c r="X321" s="58"/>
      <c r="Y321" s="58"/>
      <c r="AA321" s="1959" t="s">
        <v>2490</v>
      </c>
      <c r="AB321" s="1960"/>
      <c r="AC321" s="1960"/>
      <c r="AD321" s="1960"/>
      <c r="AE321" s="1960"/>
      <c r="AF321" s="1960"/>
      <c r="AG321" s="1960"/>
      <c r="AH321" s="1960"/>
      <c r="AI321" s="1960"/>
      <c r="AJ321" s="1960"/>
      <c r="AK321" s="1960"/>
      <c r="AL321" s="39"/>
      <c r="BN321" s="61"/>
    </row>
    <row r="322" spans="1:66" ht="13.2">
      <c r="A322" s="39"/>
      <c r="B322" s="58" t="s">
        <v>93</v>
      </c>
      <c r="C322" s="58"/>
      <c r="D322" s="58"/>
      <c r="E322" s="58"/>
      <c r="F322" s="58"/>
      <c r="G322" s="58"/>
      <c r="H322" s="2139" t="s">
        <v>2603</v>
      </c>
      <c r="I322" s="2139"/>
      <c r="J322" s="2139"/>
      <c r="K322" s="2139"/>
      <c r="L322" s="2139"/>
      <c r="M322" s="2139"/>
      <c r="N322" s="7" t="s">
        <v>212</v>
      </c>
      <c r="O322" s="7"/>
      <c r="P322" s="2028"/>
      <c r="Q322" s="2028"/>
      <c r="R322" s="2028"/>
      <c r="S322" s="58"/>
      <c r="T322" s="58" t="s">
        <v>93</v>
      </c>
      <c r="V322" s="58"/>
      <c r="W322" s="58"/>
      <c r="X322" s="58"/>
      <c r="Y322" s="58"/>
      <c r="AA322" s="2139" t="s">
        <v>2504</v>
      </c>
      <c r="AB322" s="2139"/>
      <c r="AC322" s="2139"/>
      <c r="AD322" s="2139"/>
      <c r="AE322" s="2139"/>
      <c r="AF322" s="2139"/>
      <c r="AG322" s="7" t="s">
        <v>212</v>
      </c>
      <c r="AH322" s="7"/>
      <c r="AI322" s="2028"/>
      <c r="AJ322" s="2028"/>
      <c r="AK322" s="2028"/>
      <c r="AL322" s="39"/>
      <c r="BN322" s="61"/>
    </row>
    <row r="323" spans="1:66" ht="12.75" customHeight="1">
      <c r="A323" s="39"/>
      <c r="B323" s="58" t="s">
        <v>94</v>
      </c>
      <c r="C323" s="58"/>
      <c r="D323" s="58"/>
      <c r="E323" s="58"/>
      <c r="F323" s="58"/>
      <c r="G323" s="58"/>
      <c r="H323" s="2022"/>
      <c r="I323" s="2022"/>
      <c r="J323" s="2022"/>
      <c r="K323" s="2022"/>
      <c r="L323" s="2022"/>
      <c r="M323" s="2022"/>
      <c r="N323" s="60"/>
      <c r="O323" s="60"/>
      <c r="P323" s="62"/>
      <c r="Q323" s="62"/>
      <c r="R323" s="62"/>
      <c r="S323" s="58"/>
      <c r="T323" s="58" t="s">
        <v>94</v>
      </c>
      <c r="V323" s="58"/>
      <c r="W323" s="58"/>
      <c r="X323" s="58"/>
      <c r="Y323" s="58"/>
      <c r="AA323" s="2022"/>
      <c r="AB323" s="2022"/>
      <c r="AC323" s="2022"/>
      <c r="AD323" s="2022"/>
      <c r="AE323" s="2022"/>
      <c r="AF323" s="2022"/>
      <c r="AG323" s="60"/>
      <c r="AH323" s="60"/>
      <c r="AI323" s="62"/>
      <c r="AJ323" s="62"/>
      <c r="AK323" s="62"/>
      <c r="AL323" s="39"/>
    </row>
    <row r="324" spans="1:66" ht="13.2">
      <c r="A324" s="39"/>
      <c r="B324" s="58" t="s">
        <v>80</v>
      </c>
      <c r="C324" s="58"/>
      <c r="D324" s="58"/>
      <c r="E324" s="58"/>
      <c r="F324" s="58"/>
      <c r="G324" s="58"/>
      <c r="H324" s="1959" t="s">
        <v>2594</v>
      </c>
      <c r="I324" s="1960"/>
      <c r="J324" s="1960"/>
      <c r="K324" s="1960"/>
      <c r="L324" s="1960"/>
      <c r="M324" s="1960"/>
      <c r="N324" s="1955"/>
      <c r="O324" s="1955"/>
      <c r="P324" s="1955"/>
      <c r="Q324" s="1955"/>
      <c r="R324" s="1955"/>
      <c r="S324" s="58"/>
      <c r="T324" s="58" t="s">
        <v>80</v>
      </c>
      <c r="V324" s="58"/>
      <c r="W324" s="58"/>
      <c r="X324" s="58"/>
      <c r="Y324" s="58"/>
      <c r="AA324" s="1959" t="s">
        <v>2505</v>
      </c>
      <c r="AB324" s="1960"/>
      <c r="AC324" s="1960"/>
      <c r="AD324" s="1960"/>
      <c r="AE324" s="1960"/>
      <c r="AF324" s="1960"/>
      <c r="AG324" s="1955"/>
      <c r="AH324" s="1955"/>
      <c r="AI324" s="1955"/>
      <c r="AJ324" s="1955"/>
      <c r="AK324" s="1955"/>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73" t="s">
        <v>2487</v>
      </c>
      <c r="I326" s="1955"/>
      <c r="J326" s="1955"/>
      <c r="K326" s="1955"/>
      <c r="L326" s="1955"/>
      <c r="M326" s="1955"/>
      <c r="N326" s="1955"/>
      <c r="O326" s="1955"/>
      <c r="P326" s="1955"/>
      <c r="Q326" s="1955"/>
      <c r="R326" s="1955"/>
      <c r="T326" s="58" t="s">
        <v>380</v>
      </c>
      <c r="V326" s="58"/>
      <c r="W326" s="58"/>
      <c r="X326" s="58"/>
      <c r="Y326" s="58"/>
      <c r="AA326" s="1955"/>
      <c r="AB326" s="1955"/>
      <c r="AC326" s="1955"/>
      <c r="AD326" s="1955"/>
      <c r="AE326" s="1955"/>
      <c r="AF326" s="1955"/>
      <c r="AG326" s="1955"/>
      <c r="AH326" s="1955"/>
      <c r="AI326" s="1955"/>
      <c r="AJ326" s="1955"/>
      <c r="AK326" s="1955"/>
      <c r="AL326" s="39"/>
    </row>
    <row r="327" spans="1:66" ht="13.2">
      <c r="A327" s="39"/>
      <c r="B327" s="58" t="s">
        <v>505</v>
      </c>
      <c r="C327" s="58"/>
      <c r="D327" s="58"/>
      <c r="E327" s="58"/>
      <c r="F327" s="58"/>
      <c r="H327" s="1959" t="s">
        <v>2488</v>
      </c>
      <c r="I327" s="1960"/>
      <c r="J327" s="1960"/>
      <c r="K327" s="1960"/>
      <c r="L327" s="1960"/>
      <c r="M327" s="1960"/>
      <c r="N327" s="1960"/>
      <c r="O327" s="1960"/>
      <c r="P327" s="1960"/>
      <c r="Q327" s="1960"/>
      <c r="R327" s="1960"/>
      <c r="T327" s="58" t="s">
        <v>505</v>
      </c>
      <c r="V327" s="58"/>
      <c r="W327" s="58"/>
      <c r="X327" s="58"/>
      <c r="Y327" s="58"/>
      <c r="AA327" s="1960"/>
      <c r="AB327" s="1960"/>
      <c r="AC327" s="1960"/>
      <c r="AD327" s="1960"/>
      <c r="AE327" s="1960"/>
      <c r="AF327" s="1960"/>
      <c r="AG327" s="1960"/>
      <c r="AH327" s="1960"/>
      <c r="AI327" s="1960"/>
      <c r="AJ327" s="1960"/>
      <c r="AK327" s="1960"/>
      <c r="AL327" s="39"/>
    </row>
    <row r="328" spans="1:66" ht="13.2">
      <c r="A328" s="39"/>
      <c r="B328" s="58" t="s">
        <v>506</v>
      </c>
      <c r="C328" s="58"/>
      <c r="D328" s="58"/>
      <c r="E328" s="58"/>
      <c r="F328" s="58"/>
      <c r="H328" s="1959" t="s">
        <v>2489</v>
      </c>
      <c r="I328" s="1960"/>
      <c r="J328" s="1960"/>
      <c r="K328" s="1960"/>
      <c r="L328" s="1960"/>
      <c r="M328" s="1960"/>
      <c r="N328" s="1960"/>
      <c r="O328" s="1960"/>
      <c r="P328" s="1960"/>
      <c r="Q328" s="1960"/>
      <c r="R328" s="1960"/>
      <c r="T328" s="58" t="s">
        <v>79</v>
      </c>
      <c r="V328" s="58"/>
      <c r="W328" s="58"/>
      <c r="X328" s="58"/>
      <c r="Y328" s="58"/>
      <c r="AA328" s="1960"/>
      <c r="AB328" s="1960"/>
      <c r="AC328" s="1960"/>
      <c r="AD328" s="1960"/>
      <c r="AE328" s="1960"/>
      <c r="AF328" s="1960"/>
      <c r="AG328" s="1960"/>
      <c r="AH328" s="1960"/>
      <c r="AI328" s="1960"/>
      <c r="AJ328" s="1960"/>
      <c r="AK328" s="1960"/>
      <c r="AL328" s="39"/>
    </row>
    <row r="329" spans="1:66" ht="13.2">
      <c r="A329" s="39"/>
      <c r="B329" s="58" t="s">
        <v>92</v>
      </c>
      <c r="C329" s="58"/>
      <c r="D329" s="58"/>
      <c r="E329" s="58"/>
      <c r="F329" s="58"/>
      <c r="H329" s="1960" t="s">
        <v>2490</v>
      </c>
      <c r="I329" s="1960"/>
      <c r="J329" s="1960"/>
      <c r="K329" s="1960"/>
      <c r="L329" s="1960"/>
      <c r="M329" s="1960"/>
      <c r="N329" s="1960"/>
      <c r="O329" s="1960"/>
      <c r="P329" s="1960"/>
      <c r="Q329" s="1960"/>
      <c r="R329" s="1960"/>
      <c r="T329" s="58" t="s">
        <v>92</v>
      </c>
      <c r="V329" s="58"/>
      <c r="W329" s="58"/>
      <c r="X329" s="58"/>
      <c r="Y329" s="58"/>
      <c r="AA329" s="1960"/>
      <c r="AB329" s="1960"/>
      <c r="AC329" s="1960"/>
      <c r="AD329" s="1960"/>
      <c r="AE329" s="1960"/>
      <c r="AF329" s="1960"/>
      <c r="AG329" s="1960"/>
      <c r="AH329" s="1960"/>
      <c r="AI329" s="1960"/>
      <c r="AJ329" s="1960"/>
      <c r="AK329" s="1960"/>
      <c r="AL329" s="39"/>
    </row>
    <row r="330" spans="1:66" ht="12.75" customHeight="1">
      <c r="A330" s="39"/>
      <c r="B330" s="58" t="s">
        <v>93</v>
      </c>
      <c r="C330" s="58"/>
      <c r="D330" s="58"/>
      <c r="E330" s="58"/>
      <c r="F330" s="58"/>
      <c r="G330" s="58"/>
      <c r="H330" s="2139" t="s">
        <v>2504</v>
      </c>
      <c r="I330" s="2139"/>
      <c r="J330" s="2139"/>
      <c r="K330" s="2139"/>
      <c r="L330" s="2139"/>
      <c r="M330" s="2139"/>
      <c r="N330" s="7" t="s">
        <v>212</v>
      </c>
      <c r="O330" s="7"/>
      <c r="P330" s="2028"/>
      <c r="Q330" s="2028"/>
      <c r="R330" s="2028"/>
      <c r="S330" s="58"/>
      <c r="T330" s="58" t="s">
        <v>93</v>
      </c>
      <c r="V330" s="58"/>
      <c r="W330" s="58"/>
      <c r="X330" s="58"/>
      <c r="Y330" s="58"/>
      <c r="AA330" s="2140"/>
      <c r="AB330" s="2140"/>
      <c r="AC330" s="2140"/>
      <c r="AD330" s="2140"/>
      <c r="AE330" s="2140"/>
      <c r="AF330" s="2140"/>
      <c r="AG330" s="7" t="s">
        <v>212</v>
      </c>
      <c r="AH330" s="7"/>
      <c r="AI330" s="2028"/>
      <c r="AJ330" s="2028"/>
      <c r="AK330" s="2028"/>
      <c r="AL330" s="39"/>
    </row>
    <row r="331" spans="1:66" ht="13.2">
      <c r="A331" s="39"/>
      <c r="B331" s="58" t="s">
        <v>94</v>
      </c>
      <c r="C331" s="58"/>
      <c r="D331" s="58"/>
      <c r="E331" s="58"/>
      <c r="F331" s="58"/>
      <c r="G331" s="58"/>
      <c r="H331" s="2022"/>
      <c r="I331" s="2022"/>
      <c r="J331" s="2022"/>
      <c r="K331" s="2022"/>
      <c r="L331" s="2022"/>
      <c r="M331" s="2022"/>
      <c r="N331" s="60"/>
      <c r="O331" s="60"/>
      <c r="P331" s="62"/>
      <c r="Q331" s="62"/>
      <c r="R331" s="62"/>
      <c r="S331" s="58"/>
      <c r="T331" s="58" t="s">
        <v>94</v>
      </c>
      <c r="V331" s="58"/>
      <c r="W331" s="58"/>
      <c r="X331" s="58"/>
      <c r="Y331" s="58"/>
      <c r="AA331" s="2022"/>
      <c r="AB331" s="2022"/>
      <c r="AC331" s="2022"/>
      <c r="AD331" s="2022"/>
      <c r="AE331" s="2022"/>
      <c r="AF331" s="2022"/>
      <c r="AG331" s="60"/>
      <c r="AH331" s="60"/>
      <c r="AI331" s="62"/>
      <c r="AJ331" s="62"/>
      <c r="AK331" s="62"/>
      <c r="AL331" s="39"/>
    </row>
    <row r="332" spans="1:66" ht="13.2">
      <c r="A332" s="39"/>
      <c r="B332" s="58" t="s">
        <v>80</v>
      </c>
      <c r="C332" s="58"/>
      <c r="D332" s="58"/>
      <c r="E332" s="58"/>
      <c r="F332" s="58"/>
      <c r="G332" s="58"/>
      <c r="H332" s="1960" t="s">
        <v>2505</v>
      </c>
      <c r="I332" s="1960"/>
      <c r="J332" s="1960"/>
      <c r="K332" s="1960"/>
      <c r="L332" s="1960"/>
      <c r="M332" s="1960"/>
      <c r="N332" s="1955"/>
      <c r="O332" s="1955"/>
      <c r="P332" s="1955"/>
      <c r="Q332" s="1955"/>
      <c r="R332" s="1955"/>
      <c r="S332" s="58"/>
      <c r="T332" s="58" t="s">
        <v>80</v>
      </c>
      <c r="V332" s="58"/>
      <c r="W332" s="58"/>
      <c r="X332" s="58"/>
      <c r="Y332" s="58"/>
      <c r="AA332" s="1960"/>
      <c r="AB332" s="1960"/>
      <c r="AC332" s="1960"/>
      <c r="AD332" s="1960"/>
      <c r="AE332" s="1960"/>
      <c r="AF332" s="1960"/>
      <c r="AG332" s="1955"/>
      <c r="AH332" s="1955"/>
      <c r="AI332" s="1955"/>
      <c r="AJ332" s="1955"/>
      <c r="AK332" s="195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73" t="s">
        <v>2561</v>
      </c>
      <c r="I334" s="1955"/>
      <c r="J334" s="1955"/>
      <c r="K334" s="1955"/>
      <c r="L334" s="1955"/>
      <c r="M334" s="1955"/>
      <c r="N334" s="1955"/>
      <c r="O334" s="1955"/>
      <c r="P334" s="1955"/>
      <c r="Q334" s="1955"/>
      <c r="R334" s="1955"/>
      <c r="T334" s="406" t="s">
        <v>955</v>
      </c>
      <c r="V334" s="58"/>
      <c r="W334" s="58"/>
      <c r="X334" s="58"/>
      <c r="Y334" s="58"/>
      <c r="AA334" s="1955" t="s">
        <v>2506</v>
      </c>
      <c r="AB334" s="1955"/>
      <c r="AC334" s="1955"/>
      <c r="AD334" s="1955"/>
      <c r="AE334" s="1955"/>
      <c r="AF334" s="1955"/>
      <c r="AG334" s="1955"/>
      <c r="AH334" s="1955"/>
      <c r="AI334" s="1955"/>
      <c r="AJ334" s="1955"/>
      <c r="AK334" s="1955"/>
      <c r="AL334" s="39"/>
    </row>
    <row r="335" spans="1:66" ht="12.75" customHeight="1">
      <c r="B335" s="58" t="s">
        <v>505</v>
      </c>
      <c r="C335" s="240"/>
      <c r="D335" s="240"/>
      <c r="E335" s="240"/>
      <c r="F335" s="240"/>
      <c r="G335" s="3"/>
      <c r="H335" s="1959" t="s">
        <v>2562</v>
      </c>
      <c r="I335" s="1960"/>
      <c r="J335" s="1960"/>
      <c r="K335" s="1960"/>
      <c r="L335" s="1960"/>
      <c r="M335" s="1960"/>
      <c r="N335" s="1960"/>
      <c r="O335" s="1960"/>
      <c r="P335" s="1960"/>
      <c r="Q335" s="1960"/>
      <c r="R335" s="1960"/>
      <c r="T335" s="58" t="s">
        <v>505</v>
      </c>
      <c r="V335" s="58"/>
      <c r="W335" s="58"/>
      <c r="X335" s="58"/>
      <c r="Y335" s="58"/>
      <c r="AA335" s="1960" t="s">
        <v>2507</v>
      </c>
      <c r="AB335" s="1960"/>
      <c r="AC335" s="1960"/>
      <c r="AD335" s="1960"/>
      <c r="AE335" s="1960"/>
      <c r="AF335" s="1960"/>
      <c r="AG335" s="1960"/>
      <c r="AH335" s="1960"/>
      <c r="AI335" s="1960"/>
      <c r="AJ335" s="1960"/>
      <c r="AK335" s="1960"/>
      <c r="AL335" s="39"/>
    </row>
    <row r="336" spans="1:66" ht="12.75" customHeight="1">
      <c r="B336" s="58" t="s">
        <v>79</v>
      </c>
      <c r="C336" s="240"/>
      <c r="D336" s="240"/>
      <c r="E336" s="240"/>
      <c r="F336" s="240"/>
      <c r="G336" s="3"/>
      <c r="H336" s="1959" t="s">
        <v>2563</v>
      </c>
      <c r="I336" s="1960"/>
      <c r="J336" s="1960"/>
      <c r="K336" s="1960"/>
      <c r="L336" s="1960"/>
      <c r="M336" s="1960"/>
      <c r="N336" s="1960"/>
      <c r="O336" s="1960"/>
      <c r="P336" s="1960"/>
      <c r="Q336" s="1960"/>
      <c r="R336" s="1960"/>
      <c r="T336" s="58" t="s">
        <v>79</v>
      </c>
      <c r="V336" s="58"/>
      <c r="W336" s="58"/>
      <c r="X336" s="58"/>
      <c r="Y336" s="58"/>
      <c r="AA336" s="1960" t="s">
        <v>2508</v>
      </c>
      <c r="AB336" s="1960"/>
      <c r="AC336" s="1960"/>
      <c r="AD336" s="1960"/>
      <c r="AE336" s="1960"/>
      <c r="AF336" s="1960"/>
      <c r="AG336" s="1960"/>
      <c r="AH336" s="1960"/>
      <c r="AI336" s="1960"/>
      <c r="AJ336" s="1960"/>
      <c r="AK336" s="1960"/>
      <c r="AL336" s="39"/>
    </row>
    <row r="337" spans="1:66" ht="12.75" customHeight="1">
      <c r="A337" s="39"/>
      <c r="B337" s="58" t="s">
        <v>92</v>
      </c>
      <c r="C337" s="240"/>
      <c r="D337" s="240"/>
      <c r="E337" s="240"/>
      <c r="F337" s="240"/>
      <c r="G337" s="240"/>
      <c r="H337" s="1959" t="s">
        <v>2564</v>
      </c>
      <c r="I337" s="1960"/>
      <c r="J337" s="1960"/>
      <c r="K337" s="1960"/>
      <c r="L337" s="1960"/>
      <c r="M337" s="1960"/>
      <c r="N337" s="1960"/>
      <c r="O337" s="1960"/>
      <c r="P337" s="1960"/>
      <c r="Q337" s="1960"/>
      <c r="R337" s="1960"/>
      <c r="T337" s="58" t="s">
        <v>92</v>
      </c>
      <c r="V337" s="58"/>
      <c r="W337" s="58"/>
      <c r="X337" s="58"/>
      <c r="Y337" s="58"/>
      <c r="AA337" s="1960" t="s">
        <v>2509</v>
      </c>
      <c r="AB337" s="1960"/>
      <c r="AC337" s="1960"/>
      <c r="AD337" s="1960"/>
      <c r="AE337" s="1960"/>
      <c r="AF337" s="1960"/>
      <c r="AG337" s="1960"/>
      <c r="AH337" s="1960"/>
      <c r="AI337" s="1960"/>
      <c r="AJ337" s="1960"/>
      <c r="AK337" s="1960"/>
      <c r="AL337" s="39"/>
    </row>
    <row r="338" spans="1:66" ht="12.75" customHeight="1">
      <c r="A338" s="39"/>
      <c r="B338" s="58" t="s">
        <v>93</v>
      </c>
      <c r="C338" s="240"/>
      <c r="D338" s="240"/>
      <c r="E338" s="240"/>
      <c r="F338" s="240"/>
      <c r="G338" s="240"/>
      <c r="H338" s="2139" t="s">
        <v>2565</v>
      </c>
      <c r="I338" s="2139"/>
      <c r="J338" s="2139"/>
      <c r="K338" s="2139"/>
      <c r="L338" s="2139"/>
      <c r="M338" s="2139"/>
      <c r="N338" s="7" t="s">
        <v>212</v>
      </c>
      <c r="O338" s="7"/>
      <c r="P338" s="2028"/>
      <c r="Q338" s="2028"/>
      <c r="R338" s="2028"/>
      <c r="S338" s="58"/>
      <c r="T338" s="58" t="s">
        <v>93</v>
      </c>
      <c r="V338" s="58"/>
      <c r="W338" s="58"/>
      <c r="X338" s="58"/>
      <c r="Y338" s="58"/>
      <c r="AA338" s="2139" t="s">
        <v>2510</v>
      </c>
      <c r="AB338" s="2139"/>
      <c r="AC338" s="2139"/>
      <c r="AD338" s="2139"/>
      <c r="AE338" s="2139"/>
      <c r="AF338" s="2139"/>
      <c r="AG338" s="7" t="s">
        <v>212</v>
      </c>
      <c r="AH338" s="7"/>
      <c r="AI338" s="2028"/>
      <c r="AJ338" s="2028"/>
      <c r="AK338" s="2028"/>
      <c r="AL338" s="39"/>
    </row>
    <row r="339" spans="1:66" ht="13.2">
      <c r="A339" s="39"/>
      <c r="B339" s="58" t="s">
        <v>94</v>
      </c>
      <c r="C339" s="240"/>
      <c r="D339" s="240"/>
      <c r="E339" s="240"/>
      <c r="F339" s="240"/>
      <c r="G339" s="240"/>
      <c r="H339" s="1954"/>
      <c r="I339" s="1954"/>
      <c r="J339" s="1954"/>
      <c r="K339" s="1954"/>
      <c r="L339" s="1954"/>
      <c r="M339" s="1954"/>
      <c r="N339" s="60"/>
      <c r="O339" s="60"/>
      <c r="P339" s="62"/>
      <c r="Q339" s="62"/>
      <c r="R339" s="62"/>
      <c r="S339" s="58"/>
      <c r="T339" s="58" t="s">
        <v>94</v>
      </c>
      <c r="V339" s="58"/>
      <c r="W339" s="58"/>
      <c r="X339" s="58"/>
      <c r="Y339" s="58"/>
      <c r="AA339" s="1954" t="s">
        <v>2511</v>
      </c>
      <c r="AB339" s="1954"/>
      <c r="AC339" s="1954"/>
      <c r="AD339" s="1954"/>
      <c r="AE339" s="1954"/>
      <c r="AF339" s="1954"/>
      <c r="AG339" s="60"/>
      <c r="AH339" s="60"/>
      <c r="AI339" s="62"/>
      <c r="AJ339" s="62"/>
      <c r="AK339" s="62"/>
      <c r="AL339" s="39"/>
    </row>
    <row r="340" spans="1:66" ht="13.2">
      <c r="A340" s="39"/>
      <c r="B340" s="58" t="s">
        <v>80</v>
      </c>
      <c r="C340" s="237"/>
      <c r="D340" s="237"/>
      <c r="E340" s="237"/>
      <c r="F340" s="237"/>
      <c r="G340" s="237"/>
      <c r="H340" s="1959" t="s">
        <v>2566</v>
      </c>
      <c r="I340" s="1960"/>
      <c r="J340" s="1960"/>
      <c r="K340" s="1960"/>
      <c r="L340" s="1960"/>
      <c r="M340" s="1960"/>
      <c r="N340" s="1955"/>
      <c r="O340" s="1955"/>
      <c r="P340" s="1955"/>
      <c r="Q340" s="1955"/>
      <c r="R340" s="1955"/>
      <c r="S340" s="58"/>
      <c r="T340" s="58" t="s">
        <v>80</v>
      </c>
      <c r="V340" s="58"/>
      <c r="W340" s="58"/>
      <c r="X340" s="58"/>
      <c r="Y340" s="58"/>
      <c r="AA340" s="1960" t="s">
        <v>2512</v>
      </c>
      <c r="AB340" s="1960"/>
      <c r="AC340" s="1960"/>
      <c r="AD340" s="1960"/>
      <c r="AE340" s="1960"/>
      <c r="AF340" s="1960"/>
      <c r="AG340" s="1955"/>
      <c r="AH340" s="1955"/>
      <c r="AI340" s="1955"/>
      <c r="AJ340" s="1955"/>
      <c r="AK340" s="195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956</v>
      </c>
      <c r="P342" s="1955"/>
      <c r="Q342" s="1955"/>
      <c r="R342" s="1955"/>
      <c r="S342" s="1955"/>
      <c r="T342" s="1955"/>
      <c r="U342" s="1955"/>
      <c r="V342" s="1955"/>
      <c r="W342" s="1955"/>
      <c r="X342" s="1955"/>
      <c r="Y342" s="1955"/>
      <c r="Z342" s="1955"/>
      <c r="AA342" s="1955"/>
      <c r="AB342" s="1955"/>
      <c r="AC342" s="1955"/>
      <c r="AD342" s="1955"/>
      <c r="AE342" s="1955"/>
      <c r="AF342" s="88"/>
      <c r="AG342" s="88"/>
      <c r="AH342" s="88"/>
      <c r="AI342" s="88"/>
      <c r="AJ342" s="88"/>
      <c r="AK342" s="88"/>
      <c r="AL342" s="39"/>
      <c r="BN342" s="12" t="s">
        <v>627</v>
      </c>
    </row>
    <row r="343" spans="1:66" ht="13.2">
      <c r="A343" s="3"/>
      <c r="B343" s="60"/>
      <c r="C343" s="60"/>
      <c r="D343" s="60"/>
      <c r="E343" s="60"/>
      <c r="F343" s="60"/>
      <c r="G343" s="3"/>
      <c r="H343" s="88"/>
      <c r="I343" s="7" t="s">
        <v>505</v>
      </c>
      <c r="P343" s="1960"/>
      <c r="Q343" s="1960"/>
      <c r="R343" s="1960"/>
      <c r="S343" s="1960"/>
      <c r="T343" s="1960"/>
      <c r="U343" s="1960"/>
      <c r="V343" s="1960"/>
      <c r="W343" s="1960"/>
      <c r="X343" s="1960"/>
      <c r="Y343" s="1960"/>
      <c r="Z343" s="1960"/>
      <c r="AA343" s="1960"/>
      <c r="AB343" s="1960"/>
      <c r="AC343" s="1960"/>
      <c r="AD343" s="1960"/>
      <c r="AE343" s="1960"/>
      <c r="AF343" s="88"/>
      <c r="AG343" s="88"/>
      <c r="AH343" s="88"/>
      <c r="AI343" s="88"/>
      <c r="AJ343" s="88"/>
      <c r="AK343" s="88"/>
      <c r="AL343" s="39"/>
      <c r="BN343" s="12" t="s">
        <v>707</v>
      </c>
    </row>
    <row r="344" spans="1:66" ht="13.2">
      <c r="A344" s="3"/>
      <c r="B344" s="60"/>
      <c r="C344" s="60"/>
      <c r="D344" s="60"/>
      <c r="E344" s="60"/>
      <c r="F344" s="60"/>
      <c r="G344" s="3"/>
      <c r="H344" s="88"/>
      <c r="I344" s="7" t="s">
        <v>79</v>
      </c>
      <c r="P344" s="1960"/>
      <c r="Q344" s="1960"/>
      <c r="R344" s="1960"/>
      <c r="S344" s="1960"/>
      <c r="T344" s="1960"/>
      <c r="U344" s="1960"/>
      <c r="V344" s="1960"/>
      <c r="W344" s="1960"/>
      <c r="X344" s="1960"/>
      <c r="Y344" s="1960"/>
      <c r="Z344" s="1960"/>
      <c r="AA344" s="1960"/>
      <c r="AB344" s="1960"/>
      <c r="AC344" s="1960"/>
      <c r="AD344" s="1960"/>
      <c r="AE344" s="1960"/>
      <c r="AF344" s="88"/>
      <c r="AG344" s="88"/>
      <c r="AH344" s="88"/>
      <c r="AI344" s="88"/>
      <c r="AJ344" s="88"/>
      <c r="AK344" s="88"/>
      <c r="AL344" s="39"/>
      <c r="BN344" s="12" t="s">
        <v>579</v>
      </c>
    </row>
    <row r="345" spans="1:66" ht="13.2">
      <c r="A345" s="3"/>
      <c r="B345" s="60"/>
      <c r="C345" s="60"/>
      <c r="D345" s="60"/>
      <c r="E345" s="60"/>
      <c r="F345" s="60"/>
      <c r="G345" s="60"/>
      <c r="H345" s="88"/>
      <c r="I345" s="7" t="s">
        <v>92</v>
      </c>
      <c r="P345" s="1960"/>
      <c r="Q345" s="1960"/>
      <c r="R345" s="1960"/>
      <c r="S345" s="1960"/>
      <c r="T345" s="1960"/>
      <c r="U345" s="1960"/>
      <c r="V345" s="1960"/>
      <c r="W345" s="1960"/>
      <c r="X345" s="1960"/>
      <c r="Y345" s="1960"/>
      <c r="Z345" s="1960"/>
      <c r="AA345" s="1960"/>
      <c r="AB345" s="1960"/>
      <c r="AC345" s="1960"/>
      <c r="AD345" s="1960"/>
      <c r="AE345" s="1960"/>
      <c r="AF345" s="88"/>
      <c r="AG345" s="88"/>
      <c r="AH345" s="88"/>
      <c r="AI345" s="88"/>
      <c r="AJ345" s="88"/>
      <c r="AK345" s="88"/>
      <c r="AL345" s="39"/>
    </row>
    <row r="346" spans="1:66" ht="13.2">
      <c r="A346" s="3"/>
      <c r="B346" s="60"/>
      <c r="C346" s="60"/>
      <c r="D346" s="60"/>
      <c r="E346" s="60"/>
      <c r="F346" s="60"/>
      <c r="G346" s="60"/>
      <c r="H346" s="466"/>
      <c r="I346" s="7" t="s">
        <v>93</v>
      </c>
      <c r="P346" s="2022"/>
      <c r="Q346" s="2022"/>
      <c r="R346" s="2022"/>
      <c r="S346" s="2022"/>
      <c r="T346" s="2022"/>
      <c r="U346" s="2022"/>
      <c r="V346" s="2022"/>
      <c r="W346" s="2022"/>
      <c r="X346" s="2022"/>
      <c r="Y346" s="2022"/>
      <c r="Z346" s="2022"/>
      <c r="AA346" s="7" t="s">
        <v>212</v>
      </c>
      <c r="AB346" s="7"/>
      <c r="AC346" s="2027"/>
      <c r="AD346" s="2027"/>
      <c r="AE346" s="2027"/>
      <c r="AF346" s="466"/>
      <c r="AG346" s="60"/>
      <c r="AH346" s="60"/>
      <c r="AI346" s="407"/>
      <c r="AJ346" s="407"/>
      <c r="AK346" s="407"/>
      <c r="AL346" s="39"/>
    </row>
    <row r="347" spans="1:66" ht="12.75" customHeight="1">
      <c r="A347" s="3"/>
      <c r="B347" s="60"/>
      <c r="C347" s="60"/>
      <c r="D347" s="60"/>
      <c r="E347" s="60"/>
      <c r="F347" s="60"/>
      <c r="G347" s="60"/>
      <c r="H347" s="466"/>
      <c r="I347" s="7" t="s">
        <v>94</v>
      </c>
      <c r="P347" s="2022"/>
      <c r="Q347" s="2022"/>
      <c r="R347" s="2022"/>
      <c r="S347" s="2022"/>
      <c r="T347" s="2022"/>
      <c r="U347" s="2022"/>
      <c r="V347" s="2022"/>
      <c r="W347" s="2022"/>
      <c r="X347" s="2022"/>
      <c r="Y347" s="2022"/>
      <c r="Z347" s="2022"/>
      <c r="AF347" s="466"/>
      <c r="AG347" s="60"/>
      <c r="AH347" s="60"/>
      <c r="AI347" s="62"/>
      <c r="AJ347" s="62"/>
      <c r="AK347" s="62"/>
      <c r="AL347" s="39"/>
    </row>
    <row r="348" spans="1:66" ht="13.2">
      <c r="A348" s="3"/>
      <c r="B348" s="60"/>
      <c r="C348" s="407"/>
      <c r="D348" s="407"/>
      <c r="E348" s="407"/>
      <c r="F348" s="407"/>
      <c r="G348" s="407"/>
      <c r="H348" s="88"/>
      <c r="I348" s="7" t="s">
        <v>80</v>
      </c>
      <c r="P348" s="1955"/>
      <c r="Q348" s="1955"/>
      <c r="R348" s="1955"/>
      <c r="S348" s="1955"/>
      <c r="T348" s="1955"/>
      <c r="U348" s="1955"/>
      <c r="V348" s="1955"/>
      <c r="W348" s="1955"/>
      <c r="X348" s="1955"/>
      <c r="Y348" s="1955"/>
      <c r="Z348" s="1955"/>
      <c r="AA348" s="1955"/>
      <c r="AB348" s="1955"/>
      <c r="AC348" s="1955"/>
      <c r="AD348" s="1955"/>
      <c r="AE348" s="195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123" t="s">
        <v>576</v>
      </c>
      <c r="B350" s="2123"/>
      <c r="C350" s="2123"/>
      <c r="D350" s="2123"/>
      <c r="E350" s="2123"/>
      <c r="F350" s="2123"/>
      <c r="G350" s="2123"/>
      <c r="H350" s="2123"/>
      <c r="I350" s="2123"/>
      <c r="J350" s="2123"/>
      <c r="K350" s="2123"/>
      <c r="L350" s="2123"/>
      <c r="M350" s="2123"/>
      <c r="N350" s="2123"/>
      <c r="O350" s="2123"/>
      <c r="P350" s="2123"/>
      <c r="Q350" s="2123"/>
      <c r="R350" s="2123"/>
      <c r="S350" s="2123"/>
      <c r="T350" s="2123"/>
      <c r="U350" s="2123"/>
      <c r="V350" s="2123"/>
      <c r="W350" s="2123"/>
      <c r="X350" s="2123"/>
      <c r="Y350" s="2123"/>
      <c r="Z350" s="2123"/>
      <c r="AA350" s="2123"/>
      <c r="AB350" s="2123"/>
      <c r="AC350" s="2123"/>
      <c r="AD350" s="2123"/>
      <c r="AE350" s="2123"/>
      <c r="AF350" s="2123"/>
      <c r="AG350" s="2123"/>
      <c r="AH350" s="2123"/>
      <c r="AI350" s="2123"/>
      <c r="AJ350" s="2123"/>
      <c r="AK350" s="2123"/>
      <c r="AL350" s="2123"/>
      <c r="AM350" s="144"/>
      <c r="AN350" s="144"/>
      <c r="AO350" s="144"/>
      <c r="AP350" s="144"/>
      <c r="AQ350" s="144"/>
      <c r="AR350" s="144"/>
      <c r="AS350" s="144"/>
      <c r="AT350" s="144"/>
      <c r="AU350" s="144"/>
      <c r="AV350" s="144"/>
      <c r="AW350" s="144"/>
      <c r="AX350" s="144"/>
      <c r="AY350" s="144"/>
    </row>
    <row r="351" spans="1:66" ht="13.8" thickBot="1">
      <c r="A351" s="2124"/>
      <c r="B351" s="2124"/>
      <c r="C351" s="2124"/>
      <c r="D351" s="2124"/>
      <c r="E351" s="2124"/>
      <c r="F351" s="2124"/>
      <c r="G351" s="2124"/>
      <c r="H351" s="2124"/>
      <c r="I351" s="2124"/>
      <c r="J351" s="2124"/>
      <c r="K351" s="2124"/>
      <c r="L351" s="2124"/>
      <c r="M351" s="2124"/>
      <c r="N351" s="2124"/>
      <c r="O351" s="2124"/>
      <c r="P351" s="2124"/>
      <c r="Q351" s="2124"/>
      <c r="R351" s="2124"/>
      <c r="S351" s="2124"/>
      <c r="T351" s="2124"/>
      <c r="U351" s="2124"/>
      <c r="V351" s="2124"/>
      <c r="W351" s="2124"/>
      <c r="X351" s="2124"/>
      <c r="Y351" s="2124"/>
      <c r="Z351" s="2124"/>
      <c r="AA351" s="2124"/>
      <c r="AB351" s="2124"/>
      <c r="AC351" s="2124"/>
      <c r="AD351" s="2124"/>
      <c r="AE351" s="2124"/>
      <c r="AF351" s="2124"/>
      <c r="AG351" s="2124"/>
      <c r="AH351" s="2124"/>
      <c r="AI351" s="2124"/>
      <c r="AJ351" s="2124"/>
      <c r="AK351" s="2124"/>
      <c r="AL351" s="2124"/>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1961" t="s">
        <v>579</v>
      </c>
      <c r="N354" s="1961"/>
      <c r="P354" s="12" t="s">
        <v>2019</v>
      </c>
      <c r="AJ354" s="1961" t="s">
        <v>579</v>
      </c>
      <c r="AK354" s="1961"/>
    </row>
    <row r="355" spans="1:37" ht="12.75" customHeight="1">
      <c r="D355" s="58" t="s">
        <v>2008</v>
      </c>
      <c r="M355" s="1961" t="s">
        <v>627</v>
      </c>
      <c r="N355" s="1961"/>
      <c r="P355" s="58" t="s">
        <v>2231</v>
      </c>
      <c r="AJ355" s="1980"/>
      <c r="AK355" s="1980"/>
    </row>
    <row r="356" spans="1:37" ht="12.75" customHeight="1">
      <c r="D356" s="12" t="s">
        <v>748</v>
      </c>
      <c r="M356" s="1961" t="s">
        <v>627</v>
      </c>
      <c r="N356" s="1961"/>
      <c r="P356" s="720" t="s">
        <v>2018</v>
      </c>
      <c r="AJ356" s="1961" t="s">
        <v>579</v>
      </c>
      <c r="AK356" s="1961"/>
    </row>
    <row r="357" spans="1:37" ht="12.75" customHeight="1">
      <c r="D357" s="12" t="s">
        <v>749</v>
      </c>
      <c r="M357" s="1961" t="s">
        <v>627</v>
      </c>
      <c r="N357" s="1961"/>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61" t="s">
        <v>627</v>
      </c>
      <c r="O362" s="1961"/>
      <c r="P362" s="69"/>
      <c r="Q362" s="69"/>
      <c r="R362" s="69"/>
      <c r="S362" s="69"/>
      <c r="T362" s="69"/>
      <c r="U362" s="69"/>
      <c r="V362" s="69"/>
      <c r="W362" s="69"/>
      <c r="X362" s="69"/>
      <c r="Y362" s="70"/>
      <c r="Z362" s="70"/>
      <c r="AC362" s="69"/>
      <c r="AD362" s="69"/>
      <c r="AE362" s="69"/>
    </row>
    <row r="363" spans="1:37" ht="12.75" customHeight="1">
      <c r="E363" s="12" t="s">
        <v>383</v>
      </c>
      <c r="Y363" s="1961" t="s">
        <v>627</v>
      </c>
      <c r="Z363" s="1961"/>
    </row>
    <row r="364" spans="1:37" ht="12.75" customHeight="1">
      <c r="D364" s="7" t="s">
        <v>1062</v>
      </c>
      <c r="Q364" s="1955" t="s">
        <v>627</v>
      </c>
      <c r="R364" s="1955"/>
      <c r="S364" s="1955"/>
      <c r="T364" s="1955"/>
      <c r="U364" s="1955"/>
      <c r="V364" s="1955"/>
      <c r="W364" s="1955"/>
      <c r="X364" s="1955"/>
      <c r="Y364" s="1955"/>
      <c r="Z364" s="1955"/>
      <c r="AA364" s="1955"/>
      <c r="AB364" s="1955"/>
      <c r="AC364" s="1955"/>
      <c r="AD364" s="1955"/>
      <c r="AE364" s="1955"/>
      <c r="AF364" s="1955"/>
      <c r="AG364" s="195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61" t="s">
        <v>627</v>
      </c>
      <c r="K366" s="1961"/>
      <c r="L366" s="69"/>
      <c r="M366" s="69"/>
      <c r="N366" s="69"/>
      <c r="O366" s="69"/>
      <c r="P366" s="69"/>
      <c r="Q366" s="69"/>
      <c r="R366" s="69"/>
      <c r="S366" s="69"/>
      <c r="T366" s="69"/>
      <c r="U366" s="69"/>
      <c r="V366" s="69"/>
      <c r="W366" s="69"/>
      <c r="X366" s="69"/>
      <c r="Y366" s="69"/>
      <c r="Z366" s="69"/>
      <c r="AC366" s="69"/>
      <c r="AD366" s="69"/>
      <c r="AE366" s="69"/>
    </row>
    <row r="367" spans="1:37" ht="12.75" customHeight="1">
      <c r="E367" s="2182" t="s">
        <v>750</v>
      </c>
      <c r="F367" s="2182"/>
      <c r="G367" s="2182"/>
      <c r="H367" s="2182"/>
      <c r="I367" s="2182"/>
      <c r="J367" s="2182"/>
      <c r="K367" s="2182"/>
      <c r="L367" s="2182"/>
      <c r="M367" s="2182"/>
      <c r="N367" s="2182"/>
      <c r="O367" s="2182"/>
      <c r="P367" s="2182"/>
      <c r="Q367" s="2182"/>
      <c r="R367" s="2182"/>
      <c r="S367" s="2182"/>
      <c r="T367" s="2182"/>
      <c r="U367" s="2182"/>
      <c r="V367" s="2182"/>
      <c r="W367" s="2182"/>
      <c r="X367" s="2182"/>
      <c r="Y367" s="2182"/>
      <c r="Z367" s="2182"/>
      <c r="AA367" s="2182"/>
      <c r="AB367" s="2182"/>
      <c r="AC367" s="2182"/>
      <c r="AD367" s="2182"/>
      <c r="AE367" s="2182"/>
      <c r="AF367" s="2182"/>
      <c r="AG367" s="2182"/>
      <c r="AH367" s="2182"/>
    </row>
    <row r="368" spans="1:37" ht="12.75" customHeight="1">
      <c r="E368" s="2182"/>
      <c r="F368" s="2182"/>
      <c r="G368" s="2182"/>
      <c r="H368" s="2182"/>
      <c r="I368" s="2182"/>
      <c r="J368" s="2182"/>
      <c r="K368" s="2182"/>
      <c r="L368" s="2182"/>
      <c r="M368" s="2182"/>
      <c r="N368" s="2182"/>
      <c r="O368" s="2182"/>
      <c r="P368" s="2182"/>
      <c r="Q368" s="2182"/>
      <c r="R368" s="2182"/>
      <c r="S368" s="2182"/>
      <c r="T368" s="2182"/>
      <c r="U368" s="2182"/>
      <c r="V368" s="2182"/>
      <c r="W368" s="2182"/>
      <c r="X368" s="2182"/>
      <c r="Y368" s="2182"/>
      <c r="Z368" s="2182"/>
      <c r="AA368" s="2182"/>
      <c r="AB368" s="2182"/>
      <c r="AC368" s="2182"/>
      <c r="AD368" s="2182"/>
      <c r="AE368" s="2182"/>
      <c r="AF368" s="2182"/>
      <c r="AG368" s="2182"/>
      <c r="AH368" s="2182"/>
    </row>
    <row r="369" spans="1:36" ht="12.75" customHeight="1">
      <c r="E369" s="7" t="s">
        <v>480</v>
      </c>
      <c r="F369" s="7"/>
      <c r="G369" s="7"/>
      <c r="H369" s="7"/>
      <c r="I369" s="7"/>
      <c r="J369" s="7"/>
      <c r="K369" s="7"/>
      <c r="L369" s="7"/>
      <c r="N369" s="1966"/>
      <c r="O369" s="1966"/>
      <c r="P369" s="1966"/>
      <c r="Q369" s="1966"/>
      <c r="R369" s="7"/>
      <c r="U369" s="7" t="s">
        <v>481</v>
      </c>
      <c r="V369" s="7"/>
      <c r="W369" s="7"/>
      <c r="X369" s="7"/>
      <c r="Y369" s="7"/>
      <c r="Z369" s="7"/>
      <c r="AA369" s="7"/>
      <c r="AB369" s="7"/>
      <c r="AC369" s="1966"/>
      <c r="AD369" s="1966"/>
      <c r="AE369" s="1966"/>
      <c r="AF369" s="1966"/>
    </row>
    <row r="370" spans="1:36" ht="12.75" customHeight="1">
      <c r="E370" s="7" t="s">
        <v>482</v>
      </c>
      <c r="F370" s="7"/>
      <c r="G370" s="7"/>
      <c r="H370" s="7"/>
      <c r="I370" s="7"/>
      <c r="J370" s="7"/>
      <c r="K370" s="7"/>
      <c r="L370" s="7"/>
      <c r="N370" s="1966"/>
      <c r="O370" s="1966"/>
      <c r="P370" s="1966"/>
      <c r="Q370" s="1966"/>
      <c r="R370" s="7"/>
      <c r="U370" s="7" t="s">
        <v>0</v>
      </c>
      <c r="V370" s="7"/>
      <c r="W370" s="7"/>
      <c r="X370" s="7"/>
      <c r="Y370" s="7"/>
      <c r="Z370" s="7"/>
      <c r="AA370" s="7"/>
      <c r="AB370" s="7"/>
      <c r="AC370" s="1966"/>
      <c r="AD370" s="1966"/>
      <c r="AE370" s="1966"/>
      <c r="AF370" s="1966"/>
    </row>
    <row r="371" spans="1:36" ht="12.75" customHeight="1">
      <c r="E371" s="7" t="s">
        <v>1</v>
      </c>
      <c r="F371" s="7"/>
      <c r="G371" s="7"/>
      <c r="H371" s="7"/>
      <c r="I371" s="7"/>
      <c r="J371" s="7"/>
      <c r="K371" s="7"/>
      <c r="L371" s="7"/>
      <c r="N371" s="1966"/>
      <c r="O371" s="1966"/>
      <c r="P371" s="1966"/>
      <c r="Q371" s="1966"/>
      <c r="R371" s="7"/>
      <c r="V371" s="7"/>
      <c r="W371" s="7"/>
      <c r="X371" s="7"/>
      <c r="Y371" s="7"/>
      <c r="Z371" s="7"/>
      <c r="AA371" s="7"/>
      <c r="AB371" s="7"/>
    </row>
    <row r="372" spans="1:36" ht="12.75" customHeight="1">
      <c r="E372" s="7" t="s">
        <v>2</v>
      </c>
      <c r="F372" s="7"/>
      <c r="G372" s="7"/>
      <c r="H372" s="7"/>
      <c r="I372" s="7"/>
      <c r="J372" s="7"/>
      <c r="K372" s="7"/>
      <c r="L372" s="7"/>
      <c r="N372" s="2187"/>
      <c r="O372" s="2187"/>
      <c r="P372" s="2187"/>
      <c r="Q372" s="2187"/>
      <c r="R372" s="2187"/>
      <c r="S372" s="2187"/>
      <c r="T372" s="2187"/>
      <c r="U372" s="2187"/>
      <c r="V372" s="2187"/>
      <c r="W372" s="2187"/>
      <c r="X372" s="2187"/>
      <c r="Y372" s="2187"/>
      <c r="Z372" s="2187"/>
      <c r="AA372" s="2187"/>
      <c r="AB372" s="2187"/>
      <c r="AC372" s="2187"/>
      <c r="AD372" s="2187"/>
      <c r="AE372" s="2187"/>
      <c r="AF372" s="2187"/>
    </row>
    <row r="373" spans="1:36" ht="12.75" customHeight="1">
      <c r="E373" s="7"/>
      <c r="F373" s="7"/>
      <c r="G373" s="7"/>
      <c r="H373" s="7"/>
      <c r="I373" s="7"/>
      <c r="J373" s="7"/>
      <c r="K373" s="7"/>
      <c r="L373" s="7"/>
      <c r="N373" s="2188"/>
      <c r="O373" s="2188"/>
      <c r="P373" s="2188"/>
      <c r="Q373" s="2188"/>
      <c r="R373" s="2188"/>
      <c r="S373" s="2188"/>
      <c r="T373" s="2188"/>
      <c r="U373" s="2188"/>
      <c r="V373" s="2188"/>
      <c r="W373" s="2188"/>
      <c r="X373" s="2188"/>
      <c r="Y373" s="2188"/>
      <c r="Z373" s="2188"/>
      <c r="AA373" s="2188"/>
      <c r="AB373" s="2188"/>
      <c r="AC373" s="2188"/>
      <c r="AD373" s="2188"/>
      <c r="AE373" s="2188"/>
      <c r="AF373" s="2188"/>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136"/>
      <c r="T376" s="2136"/>
      <c r="U376" s="4" t="s">
        <v>317</v>
      </c>
      <c r="V376" s="2136"/>
      <c r="W376" s="2136"/>
      <c r="Y376" s="25" t="s">
        <v>315</v>
      </c>
      <c r="AA376" s="25"/>
      <c r="AB376" s="25" t="s">
        <v>316</v>
      </c>
      <c r="AD376" s="2136"/>
      <c r="AE376" s="2136"/>
      <c r="AF376" s="4" t="s">
        <v>317</v>
      </c>
      <c r="AG376" s="2136"/>
      <c r="AH376" s="2136"/>
    </row>
    <row r="377" spans="1:36" ht="12.75" customHeight="1">
      <c r="E377" s="7" t="s">
        <v>1093</v>
      </c>
      <c r="F377" s="7"/>
      <c r="G377" s="7"/>
      <c r="H377" s="7"/>
      <c r="I377" s="7"/>
      <c r="J377" s="7"/>
      <c r="K377" s="7"/>
      <c r="L377" s="7"/>
      <c r="N377" s="2136"/>
      <c r="O377" s="2136"/>
      <c r="P377" s="2136"/>
    </row>
    <row r="378" spans="1:36" ht="12.75" customHeight="1">
      <c r="E378" s="383" t="s">
        <v>1094</v>
      </c>
      <c r="F378" s="7"/>
      <c r="G378" s="7"/>
      <c r="H378" s="7"/>
      <c r="I378" s="7"/>
      <c r="J378" s="7"/>
      <c r="K378" s="7"/>
      <c r="L378" s="7"/>
      <c r="AG378" s="2135" t="s">
        <v>627</v>
      </c>
      <c r="AH378" s="2135"/>
    </row>
    <row r="379" spans="1:36" ht="12.75" customHeight="1">
      <c r="E379" s="7"/>
      <c r="F379" s="7"/>
      <c r="G379" s="7" t="s">
        <v>1115</v>
      </c>
      <c r="H379" s="7"/>
      <c r="I379" s="7"/>
      <c r="J379" s="7"/>
      <c r="K379" s="7"/>
      <c r="L379" s="7"/>
      <c r="AG379" s="2135" t="s">
        <v>627</v>
      </c>
      <c r="AH379" s="2135"/>
    </row>
    <row r="380" spans="1:36" ht="12.75" customHeight="1">
      <c r="E380" s="7"/>
      <c r="F380" s="7"/>
      <c r="G380" s="510" t="s">
        <v>1095</v>
      </c>
      <c r="H380" s="7"/>
      <c r="I380" s="7"/>
      <c r="J380" s="7"/>
      <c r="K380" s="7"/>
      <c r="L380" s="7"/>
      <c r="V380" s="1961" t="s">
        <v>627</v>
      </c>
      <c r="W380" s="1961"/>
      <c r="Y380" s="35" t="s">
        <v>1064</v>
      </c>
    </row>
    <row r="381" spans="1:36" ht="12.75" customHeight="1">
      <c r="E381" s="7" t="s">
        <v>1065</v>
      </c>
      <c r="F381" s="7"/>
      <c r="G381" s="7"/>
      <c r="H381" s="7"/>
      <c r="I381" s="7"/>
      <c r="J381" s="7"/>
      <c r="K381" s="7"/>
      <c r="L381" s="7"/>
      <c r="V381" s="1961" t="s">
        <v>627</v>
      </c>
      <c r="W381" s="1961"/>
      <c r="Y381" s="7" t="s">
        <v>1066</v>
      </c>
    </row>
    <row r="382" spans="1:36" ht="12.75" customHeight="1"/>
    <row r="383" spans="1:36" ht="12.75" customHeight="1">
      <c r="A383" s="50" t="s">
        <v>82</v>
      </c>
      <c r="B383" s="50"/>
    </row>
    <row r="384" spans="1:36" ht="12.75" customHeight="1">
      <c r="D384" s="12" t="s">
        <v>451</v>
      </c>
      <c r="J384" s="2073" t="s">
        <v>2572</v>
      </c>
      <c r="K384" s="1955"/>
      <c r="L384" s="1955"/>
      <c r="M384" s="1955"/>
      <c r="N384" s="1955"/>
      <c r="O384" s="1955"/>
      <c r="P384" s="1955"/>
      <c r="Q384" s="1955"/>
      <c r="R384" s="1955"/>
      <c r="S384" s="1955"/>
      <c r="T384" s="1955"/>
      <c r="U384" s="1955"/>
      <c r="V384" s="14" t="s">
        <v>88</v>
      </c>
      <c r="W384" s="14"/>
      <c r="X384" s="14"/>
      <c r="Y384" s="14"/>
      <c r="Z384" s="14"/>
      <c r="AA384" s="14"/>
      <c r="AB384" s="14"/>
      <c r="AC384" s="2073" t="s">
        <v>2573</v>
      </c>
      <c r="AD384" s="1955"/>
      <c r="AE384" s="1955"/>
      <c r="AF384" s="1955"/>
      <c r="AG384" s="1955"/>
      <c r="AH384" s="1955"/>
      <c r="AI384" s="1955"/>
      <c r="AJ384" s="1955"/>
    </row>
    <row r="385" spans="1:96" ht="12.75" customHeight="1">
      <c r="A385" s="720"/>
      <c r="B385" s="720"/>
      <c r="C385" s="720"/>
      <c r="D385" s="58" t="s">
        <v>1385</v>
      </c>
      <c r="E385" s="720"/>
      <c r="F385" s="720"/>
      <c r="G385" s="720"/>
      <c r="H385" s="720"/>
      <c r="I385" s="720"/>
      <c r="J385" s="1959" t="s">
        <v>2573</v>
      </c>
      <c r="K385" s="1960"/>
      <c r="L385" s="1960"/>
      <c r="M385" s="1960"/>
      <c r="N385" s="1960"/>
      <c r="O385" s="1960"/>
      <c r="P385" s="1960"/>
      <c r="Q385" s="1960"/>
      <c r="R385" s="1960"/>
      <c r="S385" s="1960"/>
      <c r="T385" s="1960"/>
      <c r="U385" s="1960"/>
      <c r="V385" s="58" t="s">
        <v>1385</v>
      </c>
      <c r="W385" s="14"/>
      <c r="X385" s="14"/>
      <c r="Y385" s="14"/>
      <c r="Z385" s="14"/>
      <c r="AA385" s="14"/>
      <c r="AB385" s="14"/>
      <c r="AC385" s="1955"/>
      <c r="AD385" s="1955"/>
      <c r="AE385" s="1955"/>
      <c r="AF385" s="1955"/>
      <c r="AG385" s="1955"/>
      <c r="AH385" s="1955"/>
      <c r="AI385" s="1955"/>
      <c r="AJ385" s="1955"/>
      <c r="AK385" s="720"/>
      <c r="AL385" s="720"/>
    </row>
    <row r="386" spans="1:96" ht="12.75" customHeight="1">
      <c r="A386" s="720"/>
      <c r="B386" s="720"/>
      <c r="C386" s="720"/>
      <c r="D386" s="58" t="s">
        <v>465</v>
      </c>
      <c r="E386" s="720"/>
      <c r="F386" s="720"/>
      <c r="G386" s="720"/>
      <c r="H386" s="720"/>
      <c r="I386" s="720"/>
      <c r="J386" s="1959" t="s">
        <v>2574</v>
      </c>
      <c r="K386" s="1960"/>
      <c r="L386" s="1960"/>
      <c r="M386" s="1960"/>
      <c r="N386" s="1960"/>
      <c r="O386" s="1960"/>
      <c r="P386" s="1960"/>
      <c r="Q386" s="1960"/>
      <c r="R386" s="1960"/>
      <c r="S386" s="1960"/>
      <c r="T386" s="1960"/>
      <c r="U386" s="1960"/>
      <c r="V386" s="58" t="s">
        <v>465</v>
      </c>
      <c r="W386" s="14"/>
      <c r="X386" s="14"/>
      <c r="Y386" s="14"/>
      <c r="Z386" s="14"/>
      <c r="AA386" s="14"/>
      <c r="AB386" s="14"/>
      <c r="AC386" s="1955"/>
      <c r="AD386" s="1955"/>
      <c r="AE386" s="1955"/>
      <c r="AF386" s="1955"/>
      <c r="AG386" s="1955"/>
      <c r="AH386" s="1955"/>
      <c r="AI386" s="1955"/>
      <c r="AJ386" s="1955"/>
      <c r="AK386" s="720"/>
      <c r="AL386" s="720"/>
    </row>
    <row r="387" spans="1:96" ht="12.75" customHeight="1">
      <c r="A387" s="720"/>
      <c r="B387" s="720"/>
      <c r="C387" s="720"/>
      <c r="D387" s="480" t="s">
        <v>1381</v>
      </c>
      <c r="E387" s="720"/>
      <c r="F387" s="720"/>
      <c r="G387" s="720"/>
      <c r="H387" s="720"/>
      <c r="I387" s="88"/>
      <c r="J387" s="1949"/>
      <c r="K387" s="1949"/>
      <c r="L387" s="1949"/>
      <c r="M387" s="1949"/>
      <c r="N387" s="1949"/>
      <c r="O387" s="1949"/>
      <c r="P387" s="1949"/>
      <c r="Q387" s="1949"/>
      <c r="R387" s="1949"/>
      <c r="S387" s="1949"/>
      <c r="T387" s="1949"/>
      <c r="U387" s="1949"/>
      <c r="V387" s="1955"/>
      <c r="W387" s="1955"/>
      <c r="X387" s="1955"/>
      <c r="Y387" s="1955"/>
      <c r="Z387" s="1955"/>
      <c r="AA387" s="1955"/>
      <c r="AB387" s="1955"/>
      <c r="AC387" s="1955"/>
      <c r="AD387" s="1955"/>
      <c r="AE387" s="1955"/>
      <c r="AF387" s="1955"/>
      <c r="AG387" s="1955"/>
      <c r="AH387" s="1955"/>
      <c r="AI387" s="1955"/>
      <c r="AJ387" s="1955"/>
      <c r="AK387" s="720"/>
      <c r="AL387" s="720"/>
    </row>
    <row r="388" spans="1:96" ht="12.75" customHeight="1">
      <c r="D388" s="12" t="s">
        <v>4</v>
      </c>
      <c r="Q388" s="2185" t="s">
        <v>2602</v>
      </c>
      <c r="R388" s="2185"/>
      <c r="S388" s="2185"/>
      <c r="T388" s="2185"/>
      <c r="U388" s="2185"/>
      <c r="V388" s="12" t="s">
        <v>320</v>
      </c>
      <c r="AI388" s="1961" t="s">
        <v>707</v>
      </c>
      <c r="AJ388" s="1961"/>
    </row>
    <row r="389" spans="1:96" ht="12.75" customHeight="1">
      <c r="D389" s="12" t="s">
        <v>5</v>
      </c>
      <c r="Q389" s="2180"/>
      <c r="R389" s="2181"/>
      <c r="S389" s="2181"/>
      <c r="T389" s="2181"/>
      <c r="U389" s="2181"/>
      <c r="W389" s="33" t="s">
        <v>78</v>
      </c>
      <c r="AG389" s="2137"/>
      <c r="AH389" s="2137"/>
      <c r="AI389" s="2137"/>
      <c r="AJ389" s="2137"/>
    </row>
    <row r="390" spans="1:96" ht="12.75" customHeight="1">
      <c r="D390" s="12" t="s">
        <v>450</v>
      </c>
      <c r="Q390" s="2179">
        <v>4050000</v>
      </c>
      <c r="R390" s="2179"/>
      <c r="S390" s="2179"/>
      <c r="T390" s="2179"/>
      <c r="U390" s="2179"/>
      <c r="V390" s="58" t="s">
        <v>1384</v>
      </c>
      <c r="AG390" s="2186">
        <v>44440</v>
      </c>
      <c r="AH390" s="2186"/>
      <c r="AI390" s="2186"/>
      <c r="AJ390" s="2186"/>
    </row>
    <row r="391" spans="1:96" ht="12.75" customHeight="1">
      <c r="D391" s="12" t="s">
        <v>93</v>
      </c>
      <c r="I391" s="2139"/>
      <c r="J391" s="2139"/>
      <c r="K391" s="2139"/>
      <c r="L391" s="2139"/>
      <c r="M391" s="2139"/>
      <c r="N391" s="2139"/>
      <c r="Q391" s="57" t="s">
        <v>212</v>
      </c>
      <c r="S391" s="2184"/>
      <c r="T391" s="2184"/>
      <c r="U391" s="2184"/>
      <c r="V391" s="12" t="s">
        <v>77</v>
      </c>
      <c r="AI391" s="1961" t="s">
        <v>707</v>
      </c>
      <c r="AJ391" s="1961"/>
    </row>
    <row r="392" spans="1:96" ht="12.75" customHeight="1">
      <c r="D392" s="12" t="s">
        <v>321</v>
      </c>
      <c r="Q392" s="2026"/>
      <c r="R392" s="2026"/>
      <c r="S392" s="2026"/>
      <c r="T392" s="2026"/>
      <c r="U392" s="2026"/>
      <c r="V392" s="12" t="s">
        <v>322</v>
      </c>
      <c r="AG392" s="2137"/>
      <c r="AH392" s="2137"/>
      <c r="AI392" s="2137"/>
      <c r="AJ392" s="2137"/>
    </row>
    <row r="393" spans="1:96" ht="12.75" customHeight="1">
      <c r="D393" s="12" t="s">
        <v>323</v>
      </c>
      <c r="Q393" s="2138"/>
      <c r="R393" s="2138"/>
      <c r="S393" s="2138"/>
      <c r="T393" s="2138"/>
      <c r="U393" s="2138"/>
      <c r="V393" s="720" t="s">
        <v>1361</v>
      </c>
      <c r="AG393" s="2137"/>
      <c r="AH393" s="2137"/>
      <c r="AI393" s="2137"/>
      <c r="AJ393" s="2137"/>
    </row>
    <row r="394" spans="1:96" ht="13.2">
      <c r="D394" s="720" t="s">
        <v>1360</v>
      </c>
      <c r="V394" s="720"/>
      <c r="AG394" s="2137"/>
      <c r="AH394" s="2137"/>
      <c r="AI394" s="2137"/>
      <c r="AJ394" s="2137"/>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2037</v>
      </c>
      <c r="AG396" s="749"/>
      <c r="AH396" s="749"/>
      <c r="AI396" s="1961" t="s">
        <v>707</v>
      </c>
      <c r="AJ396" s="1961"/>
      <c r="AM396" s="39"/>
      <c r="AN396" s="39"/>
      <c r="AO396" s="39"/>
      <c r="AP396" s="39"/>
      <c r="AQ396" s="39"/>
      <c r="AR396" s="39"/>
      <c r="AS396" s="39"/>
      <c r="AT396" s="39"/>
      <c r="AU396" s="39"/>
      <c r="AV396" s="39"/>
      <c r="AW396" s="39"/>
      <c r="AX396" s="39"/>
      <c r="AY396" s="39"/>
      <c r="CR396" s="25"/>
    </row>
    <row r="397" spans="1:96" s="720" customFormat="1" ht="13.2">
      <c r="D397" s="58" t="s">
        <v>2039</v>
      </c>
      <c r="T397" s="2003"/>
      <c r="U397" s="2003"/>
      <c r="V397" s="2003"/>
      <c r="W397" s="2003"/>
      <c r="X397" s="2003"/>
      <c r="Y397" s="2003"/>
      <c r="Z397" s="2003"/>
      <c r="AA397" s="2003"/>
      <c r="AB397" s="2003"/>
      <c r="AC397" s="2003"/>
      <c r="AD397" s="2003"/>
      <c r="AE397" s="2003"/>
      <c r="AF397" s="2003"/>
      <c r="AG397" s="2003"/>
      <c r="AH397" s="2003"/>
      <c r="AI397" s="2003"/>
      <c r="AJ397" s="2003"/>
      <c r="AM397" s="39"/>
      <c r="AN397" s="39"/>
      <c r="AO397" s="39"/>
      <c r="AP397" s="39"/>
      <c r="AQ397" s="39"/>
      <c r="AR397" s="39"/>
      <c r="AS397" s="39"/>
      <c r="AT397" s="39"/>
      <c r="AU397" s="39"/>
      <c r="AV397" s="39"/>
      <c r="AW397" s="39"/>
      <c r="AX397" s="39"/>
      <c r="AY397" s="39"/>
      <c r="CR397" s="25"/>
    </row>
    <row r="398" spans="1:96" s="720" customFormat="1" ht="13.2">
      <c r="D398" s="58" t="s">
        <v>2038</v>
      </c>
      <c r="T398" s="2003"/>
      <c r="U398" s="2003"/>
      <c r="V398" s="2003"/>
      <c r="W398" s="2003"/>
      <c r="X398" s="2003"/>
      <c r="Y398" s="2003"/>
      <c r="Z398" s="2003"/>
      <c r="AA398" s="2003"/>
      <c r="AB398" s="2003"/>
      <c r="AC398" s="2003"/>
      <c r="AD398" s="2003"/>
      <c r="AE398" s="2003"/>
      <c r="AF398" s="2003"/>
      <c r="AG398" s="2003"/>
      <c r="AH398" s="2003"/>
      <c r="AI398" s="2003"/>
      <c r="AJ398" s="2003"/>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2031</v>
      </c>
      <c r="E400" s="720"/>
      <c r="F400" s="720"/>
      <c r="G400" s="720"/>
      <c r="H400" s="720"/>
      <c r="I400" s="720"/>
      <c r="J400" s="720"/>
      <c r="K400" s="720"/>
      <c r="L400" s="720"/>
      <c r="M400" s="720"/>
      <c r="N400" s="720"/>
      <c r="O400" s="720"/>
      <c r="P400" s="720"/>
      <c r="Q400" s="720"/>
      <c r="R400" s="720"/>
      <c r="S400" s="2003" t="s">
        <v>707</v>
      </c>
      <c r="T400" s="2003"/>
      <c r="U400" s="2003"/>
      <c r="V400" s="480" t="s">
        <v>2032</v>
      </c>
      <c r="W400" s="720"/>
      <c r="X400" s="720"/>
      <c r="Y400" s="720"/>
      <c r="Z400" s="720"/>
      <c r="AA400" s="720"/>
      <c r="AB400" s="39"/>
      <c r="AC400" s="39"/>
      <c r="AD400" s="39"/>
      <c r="AE400" s="39"/>
      <c r="AF400" s="39"/>
      <c r="AG400" s="2183"/>
      <c r="AH400" s="2183"/>
      <c r="AI400" s="2183"/>
      <c r="AJ400" s="2183"/>
      <c r="AK400" s="39"/>
      <c r="AL400" s="720"/>
    </row>
    <row r="401" spans="1:96" s="720" customFormat="1" ht="13.2">
      <c r="D401" s="58" t="s">
        <v>2028</v>
      </c>
      <c r="S401" s="2003" t="s">
        <v>627</v>
      </c>
      <c r="T401" s="2003"/>
      <c r="U401" s="2003"/>
      <c r="V401" s="480" t="s">
        <v>2034</v>
      </c>
      <c r="AB401" s="39"/>
      <c r="AC401" s="39"/>
      <c r="AD401" s="39"/>
      <c r="AE401" s="2006"/>
      <c r="AF401" s="2006"/>
      <c r="AG401" s="2006"/>
      <c r="AH401" s="2006"/>
      <c r="AI401" s="2006"/>
      <c r="AJ401" s="2006"/>
      <c r="AK401" s="39"/>
      <c r="AM401" s="39"/>
      <c r="AN401" s="39"/>
      <c r="AO401" s="39"/>
      <c r="AP401" s="39"/>
      <c r="AQ401" s="39"/>
      <c r="AR401" s="39"/>
      <c r="AS401" s="39"/>
      <c r="AT401" s="39"/>
      <c r="AU401" s="39"/>
      <c r="AV401" s="39"/>
      <c r="AW401" s="39"/>
      <c r="AX401" s="39"/>
      <c r="AY401" s="39"/>
      <c r="CR401" s="25"/>
    </row>
    <row r="402" spans="1:96" s="720" customFormat="1" ht="13.2">
      <c r="D402" s="58" t="s">
        <v>2030</v>
      </c>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2016"/>
      <c r="AG402" s="2016"/>
      <c r="AH402" s="2016"/>
      <c r="AI402" s="2016"/>
      <c r="AJ402" s="2016"/>
      <c r="AK402" s="39"/>
      <c r="AM402" s="39"/>
      <c r="AN402" s="39"/>
      <c r="AO402" s="39"/>
      <c r="AP402" s="39"/>
      <c r="AQ402" s="39"/>
      <c r="AR402" s="39"/>
      <c r="AS402" s="39"/>
      <c r="AT402" s="39"/>
      <c r="AU402" s="39"/>
      <c r="AV402" s="39"/>
      <c r="AW402" s="39"/>
      <c r="AX402" s="39"/>
      <c r="AY402" s="39"/>
      <c r="CR402" s="25"/>
    </row>
    <row r="403" spans="1:96" s="720" customFormat="1" ht="13.2">
      <c r="D403" s="58" t="s">
        <v>2033</v>
      </c>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F403" s="2016"/>
      <c r="AG403" s="2016"/>
      <c r="AH403" s="2016"/>
      <c r="AI403" s="2016"/>
      <c r="AJ403" s="2016"/>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029" t="s">
        <v>1387</v>
      </c>
      <c r="T404" s="2029"/>
      <c r="U404" s="2029"/>
      <c r="V404" s="2029"/>
      <c r="W404" s="2029"/>
      <c r="X404" s="2029"/>
      <c r="Y404" s="2029"/>
      <c r="Z404" s="2029"/>
      <c r="AA404" s="2029"/>
      <c r="AB404" s="2029"/>
      <c r="AC404" s="2029"/>
      <c r="AD404" s="2029"/>
      <c r="AE404" s="2029"/>
      <c r="AF404" s="2029"/>
      <c r="AG404" s="2029"/>
      <c r="AH404" s="2029"/>
      <c r="AI404" s="2029"/>
      <c r="AJ404" s="2029"/>
      <c r="AK404" s="39"/>
      <c r="AL404" s="39"/>
      <c r="AM404" s="39"/>
      <c r="AN404" s="39"/>
      <c r="AO404" s="39"/>
      <c r="AP404" s="39"/>
      <c r="AQ404" s="39"/>
      <c r="AR404" s="39"/>
      <c r="AS404" s="39"/>
      <c r="AT404" s="39"/>
      <c r="AU404" s="39"/>
      <c r="AV404" s="39"/>
      <c r="AW404" s="39"/>
      <c r="AX404" s="39"/>
      <c r="AY404" s="39"/>
      <c r="CR404" s="25"/>
    </row>
    <row r="405" spans="1:96" s="720" customFormat="1" ht="13.2">
      <c r="D405" s="2054" t="s">
        <v>2035</v>
      </c>
      <c r="E405" s="2054"/>
      <c r="F405" s="2054"/>
      <c r="G405" s="2054"/>
      <c r="H405" s="2054"/>
      <c r="I405" s="2054"/>
      <c r="J405" s="2054"/>
      <c r="K405" s="2054"/>
      <c r="L405" s="2054"/>
      <c r="M405" s="2054"/>
      <c r="N405" s="2054"/>
      <c r="O405" s="2054"/>
      <c r="P405" s="2054"/>
      <c r="Q405" s="2054"/>
      <c r="R405" s="2054"/>
      <c r="S405" s="2054"/>
      <c r="T405" s="2054"/>
      <c r="U405" s="2054"/>
      <c r="V405" s="2054"/>
      <c r="W405" s="2054"/>
      <c r="X405" s="2054"/>
      <c r="Y405" s="2054"/>
      <c r="Z405" s="2054"/>
      <c r="AA405" s="2054"/>
      <c r="AB405" s="2054"/>
      <c r="AC405" s="2054"/>
      <c r="AD405" s="2054"/>
      <c r="AE405" s="2054"/>
      <c r="AF405" s="2054"/>
      <c r="AG405" s="2054"/>
      <c r="AH405" s="2054"/>
      <c r="AI405" s="2054"/>
      <c r="AJ405" s="2054"/>
      <c r="AK405" s="39"/>
      <c r="AL405" s="39"/>
      <c r="AM405" s="39"/>
      <c r="AN405" s="39"/>
      <c r="AO405" s="39"/>
      <c r="AP405" s="39"/>
      <c r="AQ405" s="39"/>
      <c r="AR405" s="39"/>
      <c r="AS405" s="39"/>
      <c r="AT405" s="39"/>
      <c r="AU405" s="39"/>
      <c r="AV405" s="39"/>
      <c r="AW405" s="39"/>
      <c r="AX405" s="39"/>
      <c r="AY405" s="39"/>
      <c r="CR405" s="25"/>
    </row>
    <row r="406" spans="1:96" s="720" customFormat="1" ht="13.2">
      <c r="D406" s="2054"/>
      <c r="E406" s="2054"/>
      <c r="F406" s="2054"/>
      <c r="G406" s="2054"/>
      <c r="H406" s="2054"/>
      <c r="I406" s="2054"/>
      <c r="J406" s="2054"/>
      <c r="K406" s="2054"/>
      <c r="L406" s="2054"/>
      <c r="M406" s="2054"/>
      <c r="N406" s="2054"/>
      <c r="O406" s="2054"/>
      <c r="P406" s="2054"/>
      <c r="Q406" s="2054"/>
      <c r="R406" s="2054"/>
      <c r="S406" s="2054"/>
      <c r="T406" s="2054"/>
      <c r="U406" s="2054"/>
      <c r="V406" s="2054"/>
      <c r="W406" s="2054"/>
      <c r="X406" s="2054"/>
      <c r="Y406" s="2054"/>
      <c r="Z406" s="2054"/>
      <c r="AA406" s="2054"/>
      <c r="AB406" s="2054"/>
      <c r="AC406" s="2054"/>
      <c r="AD406" s="2054"/>
      <c r="AE406" s="2054"/>
      <c r="AF406" s="2054"/>
      <c r="AG406" s="2054"/>
      <c r="AH406" s="2054"/>
      <c r="AI406" s="2054"/>
      <c r="AJ406" s="2054"/>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73" t="s">
        <v>2491</v>
      </c>
      <c r="J409" s="2073"/>
      <c r="K409" s="2073"/>
      <c r="L409" s="2073"/>
      <c r="M409" s="2073"/>
      <c r="N409" s="2073"/>
      <c r="O409" s="2073"/>
      <c r="P409" s="2073"/>
      <c r="Q409" s="2073"/>
      <c r="R409" s="2073"/>
      <c r="S409" s="2073"/>
      <c r="T409" s="2073"/>
      <c r="U409" s="2073"/>
      <c r="V409" s="2073"/>
      <c r="W409" s="2073"/>
      <c r="X409" s="2073"/>
      <c r="Y409" s="2073"/>
      <c r="Z409" s="2073"/>
      <c r="AA409" s="2073"/>
      <c r="AB409" s="2073"/>
      <c r="AC409" s="2073"/>
      <c r="AD409" s="2073"/>
      <c r="AE409" s="2073"/>
    </row>
    <row r="410" spans="1:96" ht="12.75" customHeight="1">
      <c r="C410" s="25"/>
      <c r="D410" s="25"/>
      <c r="E410" s="12" t="s">
        <v>111</v>
      </c>
      <c r="F410" s="25"/>
      <c r="G410" s="25"/>
      <c r="H410" s="25"/>
      <c r="I410" s="25"/>
      <c r="J410" s="25"/>
      <c r="K410" s="25"/>
      <c r="L410" s="25"/>
      <c r="M410" s="25"/>
      <c r="N410" s="25"/>
      <c r="O410" s="25"/>
      <c r="P410" s="720"/>
      <c r="Q410" s="720"/>
      <c r="R410" s="1961" t="s">
        <v>579</v>
      </c>
      <c r="S410" s="1961"/>
      <c r="T410" s="12" t="s">
        <v>605</v>
      </c>
      <c r="U410" s="720"/>
      <c r="V410" s="720"/>
      <c r="W410" s="720"/>
      <c r="X410" s="720"/>
      <c r="Y410" s="720"/>
      <c r="Z410" s="720"/>
      <c r="AA410" s="720"/>
      <c r="AB410" s="720"/>
      <c r="AC410" s="720"/>
      <c r="AD410" s="1966">
        <v>4</v>
      </c>
      <c r="AE410" s="1966"/>
      <c r="AF410" s="720"/>
    </row>
    <row r="411" spans="1:96" ht="13.2">
      <c r="C411" s="25"/>
      <c r="E411" s="12" t="s">
        <v>112</v>
      </c>
      <c r="F411" s="720"/>
      <c r="G411" s="720"/>
      <c r="H411" s="720"/>
      <c r="I411" s="720"/>
      <c r="J411" s="720"/>
      <c r="K411" s="720"/>
      <c r="L411" s="720"/>
      <c r="M411" s="720"/>
      <c r="N411" s="25"/>
      <c r="O411" s="25"/>
      <c r="P411" s="720"/>
      <c r="Q411" s="720"/>
      <c r="R411" s="1961" t="s">
        <v>627</v>
      </c>
      <c r="S411" s="1961"/>
      <c r="T411" s="12" t="s">
        <v>605</v>
      </c>
      <c r="U411" s="720"/>
      <c r="V411" s="720"/>
      <c r="W411" s="720"/>
      <c r="X411" s="720"/>
      <c r="Y411" s="720"/>
      <c r="Z411" s="720"/>
      <c r="AA411" s="720"/>
      <c r="AB411" s="720"/>
      <c r="AC411" s="720"/>
      <c r="AD411" s="1966"/>
      <c r="AE411" s="1966"/>
      <c r="AF411" s="720"/>
    </row>
    <row r="412" spans="1:96" ht="12.75" customHeight="1">
      <c r="C412" s="25"/>
      <c r="E412" s="12" t="s">
        <v>113</v>
      </c>
      <c r="F412" s="720"/>
      <c r="G412" s="720"/>
      <c r="H412" s="720"/>
      <c r="I412" s="720"/>
      <c r="J412" s="720"/>
      <c r="K412" s="720"/>
      <c r="L412" s="720"/>
      <c r="M412" s="720"/>
      <c r="N412" s="25"/>
      <c r="O412" s="25"/>
      <c r="P412" s="720"/>
      <c r="Q412" s="720"/>
      <c r="R412" s="720"/>
      <c r="S412" s="1961" t="s">
        <v>627</v>
      </c>
      <c r="T412" s="1961"/>
      <c r="U412" s="720"/>
      <c r="V412" s="720"/>
      <c r="W412" s="720"/>
      <c r="X412" s="720"/>
      <c r="Y412" s="720"/>
      <c r="Z412" s="720"/>
      <c r="AA412" s="720"/>
      <c r="AB412" s="720"/>
      <c r="AC412" s="720"/>
      <c r="AD412" s="720"/>
      <c r="AE412" s="720"/>
      <c r="AF412" s="720"/>
    </row>
    <row r="413" spans="1:96" ht="12.75" customHeight="1">
      <c r="E413" s="12" t="s">
        <v>175</v>
      </c>
      <c r="F413" s="720"/>
      <c r="G413" s="720"/>
      <c r="H413" s="2043" t="s">
        <v>2575</v>
      </c>
      <c r="I413" s="2043"/>
      <c r="J413" s="2043"/>
      <c r="K413" s="2043"/>
      <c r="L413" s="2043"/>
      <c r="M413" s="2043"/>
      <c r="N413" s="2043"/>
      <c r="O413" s="2043"/>
      <c r="P413" s="2043"/>
      <c r="Q413" s="2043"/>
      <c r="R413" s="2043"/>
      <c r="S413" s="2043"/>
      <c r="T413" s="2043"/>
      <c r="U413" s="2043"/>
      <c r="V413" s="2043"/>
      <c r="W413" s="2043"/>
      <c r="X413" s="2043"/>
      <c r="Y413" s="2043"/>
      <c r="Z413" s="2043"/>
      <c r="AA413" s="2043"/>
      <c r="AB413" s="2043"/>
      <c r="AC413" s="2043"/>
      <c r="AD413" s="2043"/>
      <c r="AE413" s="2043"/>
      <c r="AF413" s="720"/>
    </row>
    <row r="414" spans="1:96" ht="12.75" customHeight="1">
      <c r="E414" s="25"/>
      <c r="F414" s="720"/>
      <c r="G414" s="720"/>
      <c r="H414" s="2044"/>
      <c r="I414" s="2044"/>
      <c r="J414" s="2044"/>
      <c r="K414" s="2044"/>
      <c r="L414" s="2044"/>
      <c r="M414" s="2044"/>
      <c r="N414" s="2044"/>
      <c r="O414" s="2044"/>
      <c r="P414" s="2044"/>
      <c r="Q414" s="2044"/>
      <c r="R414" s="2044"/>
      <c r="S414" s="2044"/>
      <c r="T414" s="2044"/>
      <c r="U414" s="2044"/>
      <c r="V414" s="2044"/>
      <c r="W414" s="2044"/>
      <c r="X414" s="2044"/>
      <c r="Y414" s="2044"/>
      <c r="Z414" s="2044"/>
      <c r="AA414" s="2044"/>
      <c r="AB414" s="2044"/>
      <c r="AC414" s="2044"/>
      <c r="AD414" s="2044"/>
      <c r="AE414" s="2044"/>
      <c r="AF414" s="720"/>
    </row>
    <row r="415" spans="1:96" ht="12.75" customHeight="1"/>
    <row r="416" spans="1:96" ht="12.75" customHeight="1">
      <c r="A416" s="50" t="s">
        <v>626</v>
      </c>
      <c r="B416" s="50"/>
      <c r="C416" s="50"/>
      <c r="D416" s="50" t="s">
        <v>119</v>
      </c>
      <c r="AF416" s="50" t="s">
        <v>1039</v>
      </c>
    </row>
    <row r="417" spans="1:96" ht="12.75" customHeight="1">
      <c r="E417" s="2136"/>
      <c r="F417" s="2136"/>
      <c r="G417" s="2136"/>
      <c r="H417" s="23" t="s">
        <v>120</v>
      </c>
      <c r="I417" s="2136"/>
      <c r="J417" s="2136"/>
      <c r="K417" s="2136"/>
      <c r="L417" s="12" t="s">
        <v>121</v>
      </c>
      <c r="N417" s="141" t="s">
        <v>611</v>
      </c>
      <c r="P417" s="2178">
        <v>4.3899999999999997</v>
      </c>
      <c r="Q417" s="2178"/>
      <c r="R417" s="2178"/>
      <c r="S417" s="12" t="s">
        <v>122</v>
      </c>
      <c r="W417" s="2037">
        <f>IF(E417&gt;0,(E417*I417),(P417*43560))</f>
        <v>191228.4</v>
      </c>
      <c r="X417" s="2037"/>
      <c r="Y417" s="2037"/>
      <c r="Z417" s="12" t="s">
        <v>123</v>
      </c>
      <c r="AF417" s="2178">
        <f>AG436/P417</f>
        <v>30.523917995444194</v>
      </c>
      <c r="AG417" s="2178"/>
      <c r="AH417" s="2178"/>
    </row>
    <row r="418" spans="1:96" ht="13.2">
      <c r="E418" s="12" t="s">
        <v>54</v>
      </c>
    </row>
    <row r="419" spans="1:96" ht="12.75" customHeight="1">
      <c r="E419" s="2053"/>
      <c r="F419" s="2053"/>
      <c r="G419" s="2053"/>
      <c r="H419" s="2053"/>
      <c r="I419" s="2053"/>
      <c r="J419" s="2053"/>
      <c r="K419" s="2053"/>
      <c r="L419" s="2053"/>
      <c r="M419" s="2053"/>
      <c r="N419" s="2053"/>
      <c r="O419" s="2053"/>
      <c r="P419" s="2053"/>
      <c r="Q419" s="2053"/>
      <c r="R419" s="2053"/>
      <c r="S419" s="2053"/>
      <c r="T419" s="2053"/>
      <c r="U419" s="2053"/>
      <c r="V419" s="2053"/>
      <c r="W419" s="2053"/>
      <c r="X419" s="2053"/>
      <c r="Y419" s="2053"/>
      <c r="Z419" s="2053"/>
      <c r="AA419" s="2053"/>
      <c r="AB419" s="2053"/>
      <c r="AC419" s="2053"/>
      <c r="AD419" s="2053"/>
      <c r="AE419" s="2053"/>
      <c r="AF419" s="2053"/>
      <c r="AG419" s="2053"/>
      <c r="AH419" s="2053"/>
      <c r="AI419" s="2053"/>
      <c r="AJ419" s="2053"/>
    </row>
    <row r="420" spans="1:96" s="39" customFormat="1" ht="12.75" customHeight="1">
      <c r="E420" s="254" t="s">
        <v>2248</v>
      </c>
      <c r="F420" s="1825"/>
      <c r="G420" s="1825"/>
      <c r="H420" s="1825"/>
      <c r="I420" s="2334">
        <v>4.3899999999999997</v>
      </c>
      <c r="J420" s="2334"/>
      <c r="K420" s="2334"/>
      <c r="L420" s="1825"/>
      <c r="M420" s="254"/>
      <c r="N420" s="1825"/>
      <c r="O420" s="1825"/>
      <c r="P420" s="2335">
        <f>(CM636+CS644+CS661)/I420</f>
        <v>30.523917995444194</v>
      </c>
      <c r="Q420" s="2335"/>
      <c r="R420" s="2335"/>
      <c r="S420" s="254" t="s">
        <v>2249</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1961">
        <v>2</v>
      </c>
      <c r="Q423" s="1961"/>
      <c r="S423" s="12" t="s">
        <v>195</v>
      </c>
      <c r="AE423" s="1961">
        <v>2</v>
      </c>
      <c r="AF423" s="1961"/>
    </row>
    <row r="424" spans="1:96" ht="13.2">
      <c r="E424" s="12" t="s">
        <v>196</v>
      </c>
      <c r="P424" s="1961">
        <v>0</v>
      </c>
      <c r="Q424" s="1961"/>
      <c r="S424" s="12" t="s">
        <v>136</v>
      </c>
      <c r="AE424" s="1961" t="s">
        <v>627</v>
      </c>
      <c r="AF424" s="1961"/>
    </row>
    <row r="425" spans="1:96" ht="13.2">
      <c r="F425" s="67" t="s">
        <v>137</v>
      </c>
    </row>
    <row r="426" spans="1:96" ht="13.2">
      <c r="F426" s="2045"/>
      <c r="G426" s="2045"/>
      <c r="H426" s="2045"/>
      <c r="I426" s="2045"/>
      <c r="J426" s="2045"/>
      <c r="K426" s="2045"/>
      <c r="L426" s="2045"/>
      <c r="M426" s="2045"/>
      <c r="N426" s="2045"/>
      <c r="O426" s="2045"/>
      <c r="P426" s="2045"/>
      <c r="Q426" s="2045"/>
      <c r="R426" s="2045"/>
      <c r="S426" s="2045"/>
      <c r="T426" s="2045"/>
      <c r="U426" s="2045"/>
      <c r="V426" s="2045"/>
      <c r="W426" s="2045"/>
      <c r="X426" s="2045"/>
      <c r="Y426" s="2045"/>
      <c r="Z426" s="2045"/>
      <c r="AA426" s="2045"/>
      <c r="AB426" s="2045"/>
      <c r="AC426" s="2045"/>
      <c r="AD426" s="2045"/>
      <c r="AE426" s="2045"/>
      <c r="AF426" s="2045"/>
      <c r="AG426" s="2045"/>
      <c r="AH426" s="2045"/>
    </row>
    <row r="427" spans="1:96" ht="12.75" customHeight="1">
      <c r="F427" s="2046"/>
      <c r="G427" s="2046"/>
      <c r="H427" s="2046"/>
      <c r="I427" s="2046"/>
      <c r="J427" s="2046"/>
      <c r="K427" s="2046"/>
      <c r="L427" s="2046"/>
      <c r="M427" s="2046"/>
      <c r="N427" s="2046"/>
      <c r="O427" s="2046"/>
      <c r="P427" s="2046"/>
      <c r="Q427" s="2046"/>
      <c r="R427" s="2046"/>
      <c r="S427" s="2046"/>
      <c r="T427" s="2046"/>
      <c r="U427" s="2046"/>
      <c r="V427" s="2046"/>
      <c r="W427" s="2046"/>
      <c r="X427" s="2046"/>
      <c r="Y427" s="2046"/>
      <c r="Z427" s="2046"/>
      <c r="AA427" s="2046"/>
      <c r="AB427" s="2046"/>
      <c r="AC427" s="2046"/>
      <c r="AD427" s="2046"/>
      <c r="AE427" s="2046"/>
      <c r="AF427" s="2046"/>
      <c r="AG427" s="2046"/>
      <c r="AH427" s="2046"/>
    </row>
    <row r="428" spans="1:96" ht="12.75" customHeight="1">
      <c r="E428" s="12" t="s">
        <v>644</v>
      </c>
      <c r="N428" s="39"/>
      <c r="O428" s="39"/>
      <c r="P428" s="235"/>
      <c r="Q428" s="1961" t="s">
        <v>579</v>
      </c>
      <c r="R428" s="1961"/>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1961" t="s">
        <v>627</v>
      </c>
      <c r="AG429" s="2030"/>
    </row>
    <row r="430" spans="1:96" ht="12.75" customHeight="1">
      <c r="S430" s="25"/>
      <c r="T430" s="25"/>
    </row>
    <row r="431" spans="1:96" ht="12.75" customHeight="1">
      <c r="A431" s="50"/>
      <c r="B431" s="50"/>
      <c r="C431" s="50"/>
      <c r="E431" s="7" t="s">
        <v>319</v>
      </c>
      <c r="Z431" s="1961" t="s">
        <v>707</v>
      </c>
      <c r="AA431" s="196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1961" t="s">
        <v>627</v>
      </c>
      <c r="AA433" s="1961"/>
    </row>
    <row r="434" spans="1:110" ht="12.75" customHeight="1"/>
    <row r="435" spans="1:110" ht="12.75" customHeight="1">
      <c r="A435" s="50" t="s">
        <v>501</v>
      </c>
      <c r="B435" s="50"/>
      <c r="C435" s="50"/>
      <c r="D435" s="50" t="s">
        <v>825</v>
      </c>
      <c r="AF435" s="80"/>
    </row>
    <row r="436" spans="1:110" ht="12.75" customHeight="1">
      <c r="D436" s="2023" t="s">
        <v>46</v>
      </c>
      <c r="E436" s="2024"/>
      <c r="F436" s="2024"/>
      <c r="G436" s="2024"/>
      <c r="H436" s="2024"/>
      <c r="I436" s="2024"/>
      <c r="J436" s="2024"/>
      <c r="K436" s="2024"/>
      <c r="L436" s="2024"/>
      <c r="M436" s="2024"/>
      <c r="N436" s="2024"/>
      <c r="O436" s="2024"/>
      <c r="P436" s="2024"/>
      <c r="Q436" s="2024"/>
      <c r="R436" s="2024"/>
      <c r="S436" s="2024"/>
      <c r="T436" s="2024"/>
      <c r="U436" s="2024"/>
      <c r="V436" s="2024"/>
      <c r="W436" s="2024"/>
      <c r="X436" s="2024"/>
      <c r="Y436" s="2024"/>
      <c r="Z436" s="2024"/>
      <c r="AA436" s="2024"/>
      <c r="AB436" s="2024"/>
      <c r="AC436" s="2024"/>
      <c r="AD436" s="2024"/>
      <c r="AE436" s="2024"/>
      <c r="AF436" s="2025"/>
      <c r="AG436" s="1984">
        <v>134</v>
      </c>
      <c r="AH436" s="1984"/>
      <c r="AI436" s="1984"/>
      <c r="AJ436" s="1984"/>
    </row>
    <row r="437" spans="1:110" ht="12.75" customHeight="1">
      <c r="D437" s="2018" t="s">
        <v>1444</v>
      </c>
      <c r="E437" s="2019"/>
      <c r="F437" s="2019"/>
      <c r="G437" s="2019"/>
      <c r="H437" s="2019"/>
      <c r="I437" s="2019"/>
      <c r="J437" s="2019"/>
      <c r="K437" s="2019"/>
      <c r="L437" s="2019"/>
      <c r="M437" s="2019"/>
      <c r="N437" s="2019"/>
      <c r="O437" s="2019"/>
      <c r="P437" s="2019"/>
      <c r="Q437" s="2019"/>
      <c r="R437" s="2019"/>
      <c r="S437" s="2019"/>
      <c r="T437" s="2019"/>
      <c r="U437" s="2019"/>
      <c r="V437" s="2019"/>
      <c r="W437" s="2019"/>
      <c r="X437" s="2019"/>
      <c r="Y437" s="2019"/>
      <c r="Z437" s="2019"/>
      <c r="AA437" s="2019"/>
      <c r="AB437" s="2019"/>
      <c r="AC437" s="2019"/>
      <c r="AD437" s="2019"/>
      <c r="AE437" s="2019"/>
      <c r="AF437" s="2020"/>
      <c r="AG437" s="2007"/>
      <c r="AH437" s="2008"/>
      <c r="AI437" s="2008"/>
      <c r="AJ437" s="2008"/>
    </row>
    <row r="438" spans="1:110" ht="12.75" customHeight="1">
      <c r="D438" s="2018" t="s">
        <v>1148</v>
      </c>
      <c r="E438" s="2019"/>
      <c r="F438" s="2019"/>
      <c r="G438" s="2019"/>
      <c r="H438" s="2019"/>
      <c r="I438" s="2019"/>
      <c r="J438" s="2019"/>
      <c r="K438" s="2019"/>
      <c r="L438" s="2019"/>
      <c r="M438" s="2019"/>
      <c r="N438" s="2019"/>
      <c r="O438" s="2019"/>
      <c r="P438" s="2019"/>
      <c r="Q438" s="2019"/>
      <c r="R438" s="2019"/>
      <c r="S438" s="2019"/>
      <c r="T438" s="2019"/>
      <c r="U438" s="2019"/>
      <c r="V438" s="2019"/>
      <c r="W438" s="2019"/>
      <c r="X438" s="2019"/>
      <c r="Y438" s="2019"/>
      <c r="Z438" s="2019"/>
      <c r="AA438" s="2019"/>
      <c r="AB438" s="2019"/>
      <c r="AC438" s="2019"/>
      <c r="AD438" s="2019"/>
      <c r="AE438" s="2019"/>
      <c r="AF438" s="2020"/>
      <c r="AG438" s="1984">
        <v>133</v>
      </c>
      <c r="AH438" s="1984"/>
      <c r="AI438" s="1984"/>
      <c r="AJ438" s="1984"/>
    </row>
    <row r="439" spans="1:110" ht="12.75" customHeight="1">
      <c r="D439" s="2018" t="s">
        <v>1149</v>
      </c>
      <c r="E439" s="2019"/>
      <c r="F439" s="2019"/>
      <c r="G439" s="2019"/>
      <c r="H439" s="2019"/>
      <c r="I439" s="2019"/>
      <c r="J439" s="2019"/>
      <c r="K439" s="2019"/>
      <c r="L439" s="2019"/>
      <c r="M439" s="2019"/>
      <c r="N439" s="2019"/>
      <c r="O439" s="2019"/>
      <c r="P439" s="2019"/>
      <c r="Q439" s="2019"/>
      <c r="R439" s="2019"/>
      <c r="S439" s="2019"/>
      <c r="T439" s="2019"/>
      <c r="U439" s="2019"/>
      <c r="V439" s="2019"/>
      <c r="W439" s="2019"/>
      <c r="X439" s="2019"/>
      <c r="Y439" s="2019"/>
      <c r="Z439" s="2019"/>
      <c r="AA439" s="2019"/>
      <c r="AB439" s="2019"/>
      <c r="AC439" s="2019"/>
      <c r="AD439" s="2019"/>
      <c r="AE439" s="2019"/>
      <c r="AF439" s="2020"/>
      <c r="AG439" s="1984">
        <v>133</v>
      </c>
      <c r="AH439" s="1984"/>
      <c r="AI439" s="1984"/>
      <c r="AJ439" s="1984"/>
    </row>
    <row r="440" spans="1:110" ht="12.75" customHeight="1">
      <c r="D440" s="2018" t="s">
        <v>1151</v>
      </c>
      <c r="E440" s="2019"/>
      <c r="F440" s="2019"/>
      <c r="G440" s="2019"/>
      <c r="H440" s="2019"/>
      <c r="I440" s="2019"/>
      <c r="J440" s="2019"/>
      <c r="K440" s="2019"/>
      <c r="L440" s="2019"/>
      <c r="M440" s="2019"/>
      <c r="N440" s="2019"/>
      <c r="O440" s="2019"/>
      <c r="P440" s="2019"/>
      <c r="Q440" s="2019"/>
      <c r="R440" s="2019"/>
      <c r="S440" s="2019"/>
      <c r="T440" s="2019"/>
      <c r="U440" s="2019"/>
      <c r="V440" s="2019"/>
      <c r="W440" s="2019"/>
      <c r="X440" s="2019"/>
      <c r="Y440" s="2019"/>
      <c r="Z440" s="2019"/>
      <c r="AA440" s="2019"/>
      <c r="AB440" s="2019"/>
      <c r="AC440" s="2019"/>
      <c r="AD440" s="2019"/>
      <c r="AE440" s="2019"/>
      <c r="AF440" s="2020"/>
      <c r="AG440" s="2036">
        <f>IF(ISERROR(AG439/AG438),"",AG439/AG438)</f>
        <v>1</v>
      </c>
      <c r="AH440" s="2036"/>
      <c r="AI440" s="2036"/>
      <c r="AJ440" s="2036"/>
    </row>
    <row r="441" spans="1:110" ht="12.75" customHeight="1">
      <c r="D441" s="2018" t="s">
        <v>1150</v>
      </c>
      <c r="E441" s="2019"/>
      <c r="F441" s="2019"/>
      <c r="G441" s="2019"/>
      <c r="H441" s="2019"/>
      <c r="I441" s="2019"/>
      <c r="J441" s="2019"/>
      <c r="K441" s="2019"/>
      <c r="L441" s="2019"/>
      <c r="M441" s="2019"/>
      <c r="N441" s="2019"/>
      <c r="O441" s="2019"/>
      <c r="P441" s="2019"/>
      <c r="Q441" s="2019"/>
      <c r="R441" s="2019"/>
      <c r="S441" s="2019"/>
      <c r="T441" s="2019"/>
      <c r="U441" s="2019"/>
      <c r="V441" s="2019"/>
      <c r="W441" s="2019"/>
      <c r="X441" s="2019"/>
      <c r="Y441" s="2019"/>
      <c r="Z441" s="2019"/>
      <c r="AA441" s="2019"/>
      <c r="AB441" s="2019"/>
      <c r="AC441" s="2019"/>
      <c r="AD441" s="2019"/>
      <c r="AE441" s="2019"/>
      <c r="AF441" s="2020"/>
      <c r="AG441" s="2005">
        <f>139500-1050</f>
        <v>138450</v>
      </c>
      <c r="AH441" s="2005"/>
      <c r="AI441" s="2005"/>
      <c r="AJ441" s="2005"/>
    </row>
    <row r="442" spans="1:110" ht="12.75" customHeight="1">
      <c r="D442" s="2018" t="s">
        <v>1152</v>
      </c>
      <c r="E442" s="2019"/>
      <c r="F442" s="2019"/>
      <c r="G442" s="2019"/>
      <c r="H442" s="2019"/>
      <c r="I442" s="2019"/>
      <c r="J442" s="2019"/>
      <c r="K442" s="2019"/>
      <c r="L442" s="2019"/>
      <c r="M442" s="2019"/>
      <c r="N442" s="2019"/>
      <c r="O442" s="2019"/>
      <c r="P442" s="2019"/>
      <c r="Q442" s="2019"/>
      <c r="R442" s="2019"/>
      <c r="S442" s="2019"/>
      <c r="T442" s="2019"/>
      <c r="U442" s="2019"/>
      <c r="V442" s="2019"/>
      <c r="W442" s="2019"/>
      <c r="X442" s="2019"/>
      <c r="Y442" s="2019"/>
      <c r="Z442" s="2019"/>
      <c r="AA442" s="2019"/>
      <c r="AB442" s="2019"/>
      <c r="AC442" s="2019"/>
      <c r="AD442" s="2019"/>
      <c r="AE442" s="2019"/>
      <c r="AF442" s="2020"/>
      <c r="AG442" s="2005">
        <f>AG441</f>
        <v>138450</v>
      </c>
      <c r="AH442" s="2005"/>
      <c r="AI442" s="2005"/>
      <c r="AJ442" s="2005"/>
    </row>
    <row r="443" spans="1:110" ht="12.75" customHeight="1">
      <c r="D443" s="2018" t="s">
        <v>1153</v>
      </c>
      <c r="E443" s="2019"/>
      <c r="F443" s="2019"/>
      <c r="G443" s="2019"/>
      <c r="H443" s="2019"/>
      <c r="I443" s="2019"/>
      <c r="J443" s="2019"/>
      <c r="K443" s="2019"/>
      <c r="L443" s="2019"/>
      <c r="M443" s="2019"/>
      <c r="N443" s="2019"/>
      <c r="O443" s="2019"/>
      <c r="P443" s="2019"/>
      <c r="Q443" s="2019"/>
      <c r="R443" s="2019"/>
      <c r="S443" s="2019"/>
      <c r="T443" s="2019"/>
      <c r="U443" s="2019"/>
      <c r="V443" s="2019"/>
      <c r="W443" s="2019"/>
      <c r="X443" s="2019"/>
      <c r="Y443" s="2019"/>
      <c r="Z443" s="2019"/>
      <c r="AA443" s="2019"/>
      <c r="AB443" s="2019"/>
      <c r="AC443" s="2019"/>
      <c r="AD443" s="2019"/>
      <c r="AE443" s="2019"/>
      <c r="AF443" s="2020"/>
      <c r="AG443" s="2036">
        <f>IF(ISERROR(AG442/AG441),"",AG442/AG441)</f>
        <v>1</v>
      </c>
      <c r="AH443" s="2036"/>
      <c r="AI443" s="2036"/>
      <c r="AJ443" s="2036"/>
    </row>
    <row r="444" spans="1:110" ht="12.75" customHeight="1">
      <c r="D444" s="2018" t="s">
        <v>1154</v>
      </c>
      <c r="E444" s="201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2020"/>
      <c r="AG444" s="2036">
        <f>MIN(IF(AG440&gt;AG443,AG443,AG440),1)</f>
        <v>1</v>
      </c>
      <c r="AH444" s="2036"/>
      <c r="AI444" s="2036"/>
      <c r="AJ444" s="2036"/>
    </row>
    <row r="445" spans="1:110" ht="12.75" customHeight="1">
      <c r="D445" s="2018" t="s">
        <v>1419</v>
      </c>
      <c r="E445" s="2024"/>
      <c r="F445" s="2024"/>
      <c r="G445" s="2024"/>
      <c r="H445" s="2024"/>
      <c r="I445" s="2024"/>
      <c r="J445" s="2024"/>
      <c r="K445" s="2024"/>
      <c r="L445" s="2024"/>
      <c r="M445" s="2024"/>
      <c r="N445" s="2024"/>
      <c r="O445" s="2024"/>
      <c r="P445" s="2024"/>
      <c r="Q445" s="2024"/>
      <c r="R445" s="2024"/>
      <c r="S445" s="2024"/>
      <c r="T445" s="2024"/>
      <c r="U445" s="2024"/>
      <c r="V445" s="2024"/>
      <c r="W445" s="2024"/>
      <c r="X445" s="2024"/>
      <c r="Y445" s="2024"/>
      <c r="Z445" s="2024"/>
      <c r="AA445" s="2024"/>
      <c r="AB445" s="2024"/>
      <c r="AC445" s="2024"/>
      <c r="AD445" s="2024"/>
      <c r="AE445" s="2024"/>
      <c r="AF445" s="2025"/>
      <c r="AG445" s="2005">
        <f>1600+6250</f>
        <v>7850</v>
      </c>
      <c r="AH445" s="2005"/>
      <c r="AI445" s="2005"/>
      <c r="AJ445" s="2005"/>
    </row>
    <row r="446" spans="1:110" ht="12.75" customHeight="1">
      <c r="D446" s="2023" t="s">
        <v>603</v>
      </c>
      <c r="E446" s="2024"/>
      <c r="F446" s="2024"/>
      <c r="G446" s="2024"/>
      <c r="H446" s="2024"/>
      <c r="I446" s="2024"/>
      <c r="J446" s="2024"/>
      <c r="K446" s="2024"/>
      <c r="L446" s="2024"/>
      <c r="M446" s="2024"/>
      <c r="N446" s="2024"/>
      <c r="O446" s="2024"/>
      <c r="P446" s="2024"/>
      <c r="Q446" s="2024"/>
      <c r="R446" s="2024"/>
      <c r="S446" s="2024"/>
      <c r="T446" s="2024"/>
      <c r="U446" s="2024"/>
      <c r="V446" s="2024"/>
      <c r="W446" s="2024"/>
      <c r="X446" s="2024"/>
      <c r="Y446" s="2024"/>
      <c r="Z446" s="2024"/>
      <c r="AA446" s="2024"/>
      <c r="AB446" s="2024"/>
      <c r="AC446" s="2024"/>
      <c r="AD446" s="2024"/>
      <c r="AE446" s="2024"/>
      <c r="AF446" s="2025"/>
      <c r="AG446" s="2005">
        <v>0</v>
      </c>
      <c r="AH446" s="2005"/>
      <c r="AI446" s="2005"/>
      <c r="AJ446" s="200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5" customHeight="1">
      <c r="D447" s="2018" t="s">
        <v>1420</v>
      </c>
      <c r="E447" s="2024"/>
      <c r="F447" s="2024"/>
      <c r="G447" s="2024"/>
      <c r="H447" s="2024"/>
      <c r="I447" s="2024"/>
      <c r="J447" s="2024"/>
      <c r="K447" s="2024"/>
      <c r="L447" s="2024"/>
      <c r="M447" s="2024"/>
      <c r="N447" s="2024"/>
      <c r="O447" s="2024"/>
      <c r="P447" s="2024"/>
      <c r="Q447" s="2024"/>
      <c r="R447" s="2024"/>
      <c r="S447" s="2024"/>
      <c r="T447" s="2024"/>
      <c r="U447" s="2024"/>
      <c r="V447" s="2024"/>
      <c r="W447" s="2024"/>
      <c r="X447" s="2024"/>
      <c r="Y447" s="2024"/>
      <c r="Z447" s="2024"/>
      <c r="AA447" s="2024"/>
      <c r="AB447" s="2024"/>
      <c r="AC447" s="2024"/>
      <c r="AD447" s="2024"/>
      <c r="AE447" s="2024"/>
      <c r="AF447" s="2025"/>
      <c r="AG447" s="2005">
        <f>213080-AG445-AG442</f>
        <v>66780</v>
      </c>
      <c r="AH447" s="2005"/>
      <c r="AI447" s="2005"/>
      <c r="AJ447" s="200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18" t="s">
        <v>1155</v>
      </c>
      <c r="E448" s="2024"/>
      <c r="F448" s="2024"/>
      <c r="G448" s="2024"/>
      <c r="H448" s="2024"/>
      <c r="I448" s="2024"/>
      <c r="J448" s="2024"/>
      <c r="K448" s="2024"/>
      <c r="L448" s="2024"/>
      <c r="M448" s="2024"/>
      <c r="N448" s="2024"/>
      <c r="O448" s="2024"/>
      <c r="P448" s="2024"/>
      <c r="Q448" s="2024"/>
      <c r="R448" s="2024"/>
      <c r="S448" s="2024"/>
      <c r="T448" s="2024"/>
      <c r="U448" s="2024"/>
      <c r="V448" s="2024"/>
      <c r="W448" s="2024"/>
      <c r="X448" s="2024"/>
      <c r="Y448" s="2024"/>
      <c r="Z448" s="2024"/>
      <c r="AA448" s="2024"/>
      <c r="AB448" s="2024"/>
      <c r="AC448" s="2024"/>
      <c r="AD448" s="2024"/>
      <c r="AE448" s="2024"/>
      <c r="AF448" s="2025"/>
      <c r="AG448" s="2005">
        <v>0</v>
      </c>
      <c r="AH448" s="2005"/>
      <c r="AI448" s="2005"/>
      <c r="AJ448" s="200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031" t="s">
        <v>1156</v>
      </c>
      <c r="E449" s="2032"/>
      <c r="F449" s="2032"/>
      <c r="G449" s="2032"/>
      <c r="H449" s="2032"/>
      <c r="I449" s="2032"/>
      <c r="J449" s="2032"/>
      <c r="K449" s="2032"/>
      <c r="L449" s="2032"/>
      <c r="M449" s="2032"/>
      <c r="N449" s="2032"/>
      <c r="O449" s="2032"/>
      <c r="P449" s="2032"/>
      <c r="Q449" s="2032"/>
      <c r="R449" s="2032"/>
      <c r="S449" s="2032"/>
      <c r="T449" s="2032"/>
      <c r="U449" s="2032"/>
      <c r="V449" s="2032"/>
      <c r="W449" s="2032"/>
      <c r="X449" s="2032"/>
      <c r="Y449" s="2032"/>
      <c r="Z449" s="2032"/>
      <c r="AA449" s="2032"/>
      <c r="AB449" s="2032"/>
      <c r="AC449" s="2032"/>
      <c r="AD449" s="2032"/>
      <c r="AE449" s="2032"/>
      <c r="AF449" s="2033"/>
      <c r="AG449" s="2021">
        <f>AG441+AG445+AG447+AG448</f>
        <v>213080</v>
      </c>
      <c r="AH449" s="2021"/>
      <c r="AI449" s="2021"/>
      <c r="AJ449" s="202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034" t="s">
        <v>1421</v>
      </c>
      <c r="E450" s="2034"/>
      <c r="F450" s="2034"/>
      <c r="G450" s="2034"/>
      <c r="H450" s="2034"/>
      <c r="I450" s="2034"/>
      <c r="J450" s="2034"/>
      <c r="K450" s="2034"/>
      <c r="L450" s="2034"/>
      <c r="M450" s="2034"/>
      <c r="N450" s="2034"/>
      <c r="O450" s="2034"/>
      <c r="P450" s="2034"/>
      <c r="Q450" s="2034"/>
      <c r="R450" s="2034"/>
      <c r="S450" s="2034"/>
      <c r="T450" s="2034"/>
      <c r="U450" s="2034"/>
      <c r="V450" s="2034"/>
      <c r="W450" s="2034"/>
      <c r="X450" s="2034"/>
      <c r="Y450" s="2034"/>
      <c r="Z450" s="2034"/>
      <c r="AA450" s="2034"/>
      <c r="AB450" s="2034"/>
      <c r="AC450" s="2034"/>
      <c r="AD450" s="2034"/>
      <c r="AE450" s="2034"/>
      <c r="AF450" s="2034"/>
      <c r="AG450" s="2034"/>
      <c r="AH450" s="2034"/>
      <c r="AI450" s="2034"/>
      <c r="AJ450" s="203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035"/>
      <c r="E451" s="2035"/>
      <c r="F451" s="2035"/>
      <c r="G451" s="2035"/>
      <c r="H451" s="2035"/>
      <c r="I451" s="2035"/>
      <c r="J451" s="2035"/>
      <c r="K451" s="2035"/>
      <c r="L451" s="2035"/>
      <c r="M451" s="2035"/>
      <c r="N451" s="2035"/>
      <c r="O451" s="2035"/>
      <c r="P451" s="2035"/>
      <c r="Q451" s="2035"/>
      <c r="R451" s="2035"/>
      <c r="S451" s="2035"/>
      <c r="T451" s="2035"/>
      <c r="U451" s="2035"/>
      <c r="V451" s="2035"/>
      <c r="W451" s="2035"/>
      <c r="X451" s="2035"/>
      <c r="Y451" s="2035"/>
      <c r="Z451" s="2035"/>
      <c r="AA451" s="2035"/>
      <c r="AB451" s="2035"/>
      <c r="AC451" s="2035"/>
      <c r="AD451" s="2035"/>
      <c r="AE451" s="2035"/>
      <c r="AF451" s="2035"/>
      <c r="AG451" s="2035"/>
      <c r="AH451" s="2035"/>
      <c r="AI451" s="2035"/>
      <c r="AJ451" s="203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42">
        <f>'Sources and Uses Budget'!B105/Application!AG436</f>
        <v>476840.45771144278</v>
      </c>
      <c r="AD453" s="2042"/>
      <c r="AE453" s="2042"/>
      <c r="AF453" s="204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42">
        <f>'Sources and Uses Budget'!C105/Application!AG436</f>
        <v>476840.45771144278</v>
      </c>
      <c r="AD454" s="2042"/>
      <c r="AE454" s="2042"/>
      <c r="AF454" s="204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42">
        <f>('Sources and Uses Budget'!$S$107+'Sources and Uses Budget'!$T$107)/Application!AG436</f>
        <v>428620.34328358207</v>
      </c>
      <c r="AD455" s="2042"/>
      <c r="AE455" s="2042"/>
      <c r="AF455" s="204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12" t="s">
        <v>734</v>
      </c>
      <c r="E464" s="2013"/>
      <c r="F464" s="2013"/>
      <c r="G464" s="2013"/>
      <c r="H464" s="2013"/>
      <c r="I464" s="2013"/>
      <c r="J464" s="2013"/>
      <c r="K464" s="2013"/>
      <c r="L464" s="2013"/>
      <c r="M464" s="2013"/>
      <c r="N464" s="2013"/>
      <c r="O464" s="2013"/>
      <c r="P464" s="2013"/>
      <c r="Q464" s="2013"/>
      <c r="R464" s="2013"/>
      <c r="S464" s="2013"/>
      <c r="T464" s="2013"/>
      <c r="U464" s="2013"/>
      <c r="V464" s="2014"/>
      <c r="W464" s="2009">
        <v>0</v>
      </c>
      <c r="X464" s="2010"/>
      <c r="Y464" s="201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12" t="s">
        <v>735</v>
      </c>
      <c r="E465" s="2013"/>
      <c r="F465" s="2013"/>
      <c r="G465" s="2013"/>
      <c r="H465" s="2013"/>
      <c r="I465" s="2013"/>
      <c r="J465" s="2013"/>
      <c r="K465" s="2013"/>
      <c r="L465" s="2013"/>
      <c r="M465" s="2013"/>
      <c r="N465" s="2013"/>
      <c r="O465" s="2013"/>
      <c r="P465" s="2013"/>
      <c r="Q465" s="2013"/>
      <c r="R465" s="2013"/>
      <c r="S465" s="2013"/>
      <c r="T465" s="2013"/>
      <c r="U465" s="2013"/>
      <c r="V465" s="2014"/>
      <c r="W465" s="2009">
        <v>0</v>
      </c>
      <c r="X465" s="2010"/>
      <c r="Y465" s="201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12" t="s">
        <v>736</v>
      </c>
      <c r="E466" s="2013"/>
      <c r="F466" s="2013"/>
      <c r="G466" s="2013"/>
      <c r="H466" s="2013"/>
      <c r="I466" s="2013"/>
      <c r="J466" s="2013"/>
      <c r="K466" s="2013"/>
      <c r="L466" s="2013"/>
      <c r="M466" s="2013"/>
      <c r="N466" s="2013"/>
      <c r="O466" s="2013"/>
      <c r="P466" s="2013"/>
      <c r="Q466" s="2013"/>
      <c r="R466" s="2013"/>
      <c r="S466" s="2013"/>
      <c r="T466" s="2013"/>
      <c r="U466" s="2013"/>
      <c r="V466" s="2014"/>
      <c r="W466" s="2009">
        <v>0</v>
      </c>
      <c r="X466" s="2010"/>
      <c r="Y466" s="201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12" t="s">
        <v>737</v>
      </c>
      <c r="E467" s="2013"/>
      <c r="F467" s="2013"/>
      <c r="G467" s="2013"/>
      <c r="H467" s="2013"/>
      <c r="I467" s="2013"/>
      <c r="J467" s="2013"/>
      <c r="K467" s="2013"/>
      <c r="L467" s="2013"/>
      <c r="M467" s="2013"/>
      <c r="N467" s="2013"/>
      <c r="O467" s="2013"/>
      <c r="P467" s="2013"/>
      <c r="Q467" s="2013"/>
      <c r="R467" s="2013"/>
      <c r="S467" s="2013"/>
      <c r="T467" s="2013"/>
      <c r="U467" s="2013"/>
      <c r="V467" s="2014"/>
      <c r="W467" s="2009">
        <v>0</v>
      </c>
      <c r="X467" s="2010"/>
      <c r="Y467" s="201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12" t="s">
        <v>949</v>
      </c>
      <c r="E468" s="2013"/>
      <c r="F468" s="2013"/>
      <c r="G468" s="2013"/>
      <c r="H468" s="2013"/>
      <c r="I468" s="2013"/>
      <c r="J468" s="2013"/>
      <c r="K468" s="2013"/>
      <c r="L468" s="2013"/>
      <c r="M468" s="2013"/>
      <c r="N468" s="2013"/>
      <c r="O468" s="2013"/>
      <c r="P468" s="2013"/>
      <c r="Q468" s="2013"/>
      <c r="R468" s="2013"/>
      <c r="S468" s="2013"/>
      <c r="T468" s="2013"/>
      <c r="U468" s="2013"/>
      <c r="V468" s="2014"/>
      <c r="W468" s="2009">
        <v>0</v>
      </c>
      <c r="X468" s="2010"/>
      <c r="Y468" s="201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12" t="s">
        <v>738</v>
      </c>
      <c r="E469" s="2013"/>
      <c r="F469" s="2013"/>
      <c r="G469" s="2013"/>
      <c r="H469" s="2013"/>
      <c r="I469" s="2013"/>
      <c r="J469" s="2013"/>
      <c r="K469" s="2013"/>
      <c r="L469" s="2013"/>
      <c r="M469" s="2013"/>
      <c r="N469" s="2013"/>
      <c r="O469" s="2013"/>
      <c r="P469" s="2013"/>
      <c r="Q469" s="2013"/>
      <c r="R469" s="2013"/>
      <c r="S469" s="2013"/>
      <c r="T469" s="2013"/>
      <c r="U469" s="2013"/>
      <c r="V469" s="2014"/>
      <c r="W469" s="2009">
        <v>0</v>
      </c>
      <c r="X469" s="2010"/>
      <c r="Y469" s="201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12" t="s">
        <v>1122</v>
      </c>
      <c r="E470" s="2013"/>
      <c r="F470" s="2013"/>
      <c r="G470" s="2013"/>
      <c r="H470" s="2013"/>
      <c r="I470" s="2013"/>
      <c r="J470" s="2013"/>
      <c r="K470" s="2013"/>
      <c r="L470" s="2013"/>
      <c r="M470" s="2013"/>
      <c r="N470" s="2013"/>
      <c r="O470" s="2013"/>
      <c r="P470" s="2013"/>
      <c r="Q470" s="2013"/>
      <c r="R470" s="2013"/>
      <c r="S470" s="2013"/>
      <c r="T470" s="2013"/>
      <c r="U470" s="2013"/>
      <c r="V470" s="2014"/>
      <c r="W470" s="2009">
        <v>0</v>
      </c>
      <c r="X470" s="2010"/>
      <c r="Y470" s="201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41" t="s">
        <v>2023</v>
      </c>
      <c r="E471" s="2013"/>
      <c r="F471" s="2013"/>
      <c r="G471" s="2013"/>
      <c r="H471" s="2013"/>
      <c r="I471" s="2013"/>
      <c r="J471" s="2013"/>
      <c r="K471" s="2013"/>
      <c r="L471" s="2013"/>
      <c r="M471" s="2013"/>
      <c r="N471" s="2013"/>
      <c r="O471" s="2013"/>
      <c r="P471" s="2013"/>
      <c r="Q471" s="2013"/>
      <c r="R471" s="2013"/>
      <c r="S471" s="2013"/>
      <c r="T471" s="2013"/>
      <c r="U471" s="2013"/>
      <c r="V471" s="2014"/>
      <c r="W471" s="2009">
        <v>0</v>
      </c>
      <c r="X471" s="2010"/>
      <c r="Y471" s="201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038" t="s">
        <v>1158</v>
      </c>
      <c r="H472" s="2039"/>
      <c r="I472" s="2039"/>
      <c r="J472" s="2039"/>
      <c r="K472" s="2039"/>
      <c r="L472" s="2039"/>
      <c r="M472" s="2039"/>
      <c r="N472" s="2039"/>
      <c r="O472" s="2039"/>
      <c r="P472" s="2039"/>
      <c r="Q472" s="2039"/>
      <c r="R472" s="2039"/>
      <c r="S472" s="2039"/>
      <c r="T472" s="2039"/>
      <c r="U472" s="2039"/>
      <c r="V472" s="2040"/>
      <c r="W472" s="2009">
        <v>134</v>
      </c>
      <c r="X472" s="2010"/>
      <c r="Y472" s="201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123" t="s">
        <v>872</v>
      </c>
      <c r="B478" s="2123"/>
      <c r="C478" s="2123"/>
      <c r="D478" s="2123"/>
      <c r="E478" s="2123"/>
      <c r="F478" s="2123"/>
      <c r="G478" s="2123"/>
      <c r="H478" s="2123"/>
      <c r="I478" s="2123"/>
      <c r="J478" s="2123"/>
      <c r="K478" s="2123"/>
      <c r="L478" s="2123"/>
      <c r="M478" s="2123"/>
      <c r="N478" s="2123"/>
      <c r="O478" s="2123"/>
      <c r="P478" s="2123"/>
      <c r="Q478" s="2123"/>
      <c r="R478" s="2123"/>
      <c r="S478" s="2123"/>
      <c r="T478" s="2123"/>
      <c r="U478" s="2123"/>
      <c r="V478" s="2123"/>
      <c r="W478" s="2123"/>
      <c r="X478" s="2123"/>
      <c r="Y478" s="2123"/>
      <c r="Z478" s="2123"/>
      <c r="AA478" s="2123"/>
      <c r="AB478" s="2123"/>
      <c r="AC478" s="2123"/>
      <c r="AD478" s="2123"/>
      <c r="AE478" s="2123"/>
      <c r="AF478" s="2123"/>
      <c r="AG478" s="2123"/>
      <c r="AH478" s="2123"/>
      <c r="AI478" s="2123"/>
      <c r="AJ478" s="2123"/>
      <c r="AK478" s="2123"/>
      <c r="AL478" s="212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124"/>
      <c r="B479" s="2124"/>
      <c r="C479" s="2124"/>
      <c r="D479" s="2124"/>
      <c r="E479" s="2124"/>
      <c r="F479" s="2124"/>
      <c r="G479" s="2124"/>
      <c r="H479" s="2124"/>
      <c r="I479" s="2124"/>
      <c r="J479" s="2124"/>
      <c r="K479" s="2124"/>
      <c r="L479" s="2124"/>
      <c r="M479" s="2124"/>
      <c r="N479" s="2124"/>
      <c r="O479" s="2124"/>
      <c r="P479" s="2124"/>
      <c r="Q479" s="2124"/>
      <c r="R479" s="2124"/>
      <c r="S479" s="2124"/>
      <c r="T479" s="2124"/>
      <c r="U479" s="2124"/>
      <c r="V479" s="2124"/>
      <c r="W479" s="2124"/>
      <c r="X479" s="2124"/>
      <c r="Y479" s="2124"/>
      <c r="Z479" s="2124"/>
      <c r="AA479" s="2124"/>
      <c r="AB479" s="2124"/>
      <c r="AC479" s="2124"/>
      <c r="AD479" s="2124"/>
      <c r="AE479" s="2124"/>
      <c r="AF479" s="2124"/>
      <c r="AG479" s="2124"/>
      <c r="AH479" s="2124"/>
      <c r="AI479" s="2124"/>
      <c r="AJ479" s="2124"/>
      <c r="AK479" s="2124"/>
      <c r="AL479" s="212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1989" t="s">
        <v>873</v>
      </c>
      <c r="U483" s="1990"/>
      <c r="V483" s="1990"/>
      <c r="W483" s="1990"/>
      <c r="X483" s="1990"/>
      <c r="Y483" s="1990"/>
      <c r="Z483" s="1990"/>
      <c r="AA483" s="1990"/>
      <c r="AB483" s="1990"/>
      <c r="AC483" s="1990"/>
      <c r="AD483" s="1990"/>
      <c r="AE483" s="1990"/>
      <c r="AF483" s="1990"/>
      <c r="AG483" s="1990"/>
      <c r="AH483" s="199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125" t="s">
        <v>36</v>
      </c>
      <c r="U484" s="2125"/>
      <c r="V484" s="2125"/>
      <c r="W484" s="2125"/>
      <c r="X484" s="2125"/>
      <c r="Y484" s="2125" t="s">
        <v>37</v>
      </c>
      <c r="Z484" s="2125"/>
      <c r="AA484" s="2125"/>
      <c r="AB484" s="2125"/>
      <c r="AC484" s="2125"/>
      <c r="AD484" s="2125" t="s">
        <v>350</v>
      </c>
      <c r="AE484" s="2125"/>
      <c r="AF484" s="2125"/>
      <c r="AG484" s="2125"/>
      <c r="AH484" s="212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125"/>
      <c r="U485" s="2125"/>
      <c r="V485" s="2125"/>
      <c r="W485" s="2125"/>
      <c r="X485" s="2125"/>
      <c r="Y485" s="2125"/>
      <c r="Z485" s="2125"/>
      <c r="AA485" s="2125"/>
      <c r="AB485" s="2125"/>
      <c r="AC485" s="2125"/>
      <c r="AD485" s="2125"/>
      <c r="AE485" s="2125"/>
      <c r="AF485" s="2125"/>
      <c r="AG485" s="2125"/>
      <c r="AH485" s="212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1962">
        <v>44236</v>
      </c>
      <c r="U486" s="1963"/>
      <c r="V486" s="1963"/>
      <c r="W486" s="1963"/>
      <c r="X486" s="1964"/>
      <c r="Y486" s="1962">
        <v>44259</v>
      </c>
      <c r="Z486" s="1963"/>
      <c r="AA486" s="1963"/>
      <c r="AB486" s="1963"/>
      <c r="AC486" s="1964"/>
      <c r="AD486" s="1962" t="s">
        <v>2596</v>
      </c>
      <c r="AE486" s="1963"/>
      <c r="AF486" s="1963"/>
      <c r="AG486" s="1963"/>
      <c r="AH486" s="196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1962" t="s">
        <v>627</v>
      </c>
      <c r="U487" s="1963"/>
      <c r="V487" s="1963"/>
      <c r="W487" s="1963"/>
      <c r="X487" s="1964"/>
      <c r="Y487" s="1962" t="s">
        <v>627</v>
      </c>
      <c r="Z487" s="1963"/>
      <c r="AA487" s="1963"/>
      <c r="AB487" s="1963"/>
      <c r="AC487" s="1964"/>
      <c r="AD487" s="1962" t="s">
        <v>627</v>
      </c>
      <c r="AE487" s="1963"/>
      <c r="AF487" s="1963"/>
      <c r="AG487" s="1963"/>
      <c r="AH487" s="196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1962">
        <v>44236</v>
      </c>
      <c r="U488" s="1963"/>
      <c r="V488" s="1963"/>
      <c r="W488" s="1963"/>
      <c r="X488" s="1964"/>
      <c r="Y488" s="1962">
        <v>44259</v>
      </c>
      <c r="Z488" s="1963"/>
      <c r="AA488" s="1963"/>
      <c r="AB488" s="1963"/>
      <c r="AC488" s="1964"/>
      <c r="AD488" s="1962" t="s">
        <v>2596</v>
      </c>
      <c r="AE488" s="1963"/>
      <c r="AF488" s="1963"/>
      <c r="AG488" s="1963"/>
      <c r="AH488" s="196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1962">
        <v>44236</v>
      </c>
      <c r="U489" s="1963"/>
      <c r="V489" s="1963"/>
      <c r="W489" s="1963"/>
      <c r="X489" s="1964"/>
      <c r="Y489" s="1962">
        <v>44259</v>
      </c>
      <c r="Z489" s="1963"/>
      <c r="AA489" s="1963"/>
      <c r="AB489" s="1963"/>
      <c r="AC489" s="1964"/>
      <c r="AD489" s="1962" t="s">
        <v>2596</v>
      </c>
      <c r="AE489" s="1963"/>
      <c r="AF489" s="1963"/>
      <c r="AG489" s="1963"/>
      <c r="AH489" s="196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1962" t="s">
        <v>627</v>
      </c>
      <c r="U490" s="1963"/>
      <c r="V490" s="1963"/>
      <c r="W490" s="1963"/>
      <c r="X490" s="1964"/>
      <c r="Y490" s="1962" t="s">
        <v>627</v>
      </c>
      <c r="Z490" s="1963"/>
      <c r="AA490" s="1963"/>
      <c r="AB490" s="1963"/>
      <c r="AC490" s="1964"/>
      <c r="AD490" s="1962" t="s">
        <v>627</v>
      </c>
      <c r="AE490" s="1963"/>
      <c r="AF490" s="1963"/>
      <c r="AG490" s="1963"/>
      <c r="AH490" s="196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1962" t="s">
        <v>627</v>
      </c>
      <c r="U491" s="1963"/>
      <c r="V491" s="1963"/>
      <c r="W491" s="1963"/>
      <c r="X491" s="1964"/>
      <c r="Y491" s="1962" t="s">
        <v>627</v>
      </c>
      <c r="Z491" s="1963"/>
      <c r="AA491" s="1963"/>
      <c r="AB491" s="1963"/>
      <c r="AC491" s="1964"/>
      <c r="AD491" s="1962" t="s">
        <v>627</v>
      </c>
      <c r="AE491" s="1963"/>
      <c r="AF491" s="1963"/>
      <c r="AG491" s="1963"/>
      <c r="AH491" s="196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1962">
        <v>44236</v>
      </c>
      <c r="U492" s="1963"/>
      <c r="V492" s="1963"/>
      <c r="W492" s="1963"/>
      <c r="X492" s="1964"/>
      <c r="Y492" s="1962">
        <v>44259</v>
      </c>
      <c r="Z492" s="1963"/>
      <c r="AA492" s="1963"/>
      <c r="AB492" s="1963"/>
      <c r="AC492" s="1964"/>
      <c r="AD492" s="1962" t="s">
        <v>2596</v>
      </c>
      <c r="AE492" s="1963"/>
      <c r="AF492" s="1963"/>
      <c r="AG492" s="1963"/>
      <c r="AH492" s="196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1962" t="s">
        <v>627</v>
      </c>
      <c r="U493" s="1963"/>
      <c r="V493" s="1963"/>
      <c r="W493" s="1963"/>
      <c r="X493" s="1964"/>
      <c r="Y493" s="1962" t="s">
        <v>627</v>
      </c>
      <c r="Z493" s="1963"/>
      <c r="AA493" s="1963"/>
      <c r="AB493" s="1963"/>
      <c r="AC493" s="1964"/>
      <c r="AD493" s="1962" t="s">
        <v>627</v>
      </c>
      <c r="AE493" s="1963"/>
      <c r="AF493" s="1963"/>
      <c r="AG493" s="1963"/>
      <c r="AH493" s="196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1962" t="s">
        <v>627</v>
      </c>
      <c r="U494" s="1963"/>
      <c r="V494" s="1963"/>
      <c r="W494" s="1963"/>
      <c r="X494" s="1964"/>
      <c r="Y494" s="1962" t="s">
        <v>627</v>
      </c>
      <c r="Z494" s="1963"/>
      <c r="AA494" s="1963"/>
      <c r="AB494" s="1963"/>
      <c r="AC494" s="1964"/>
      <c r="AD494" s="1962" t="s">
        <v>627</v>
      </c>
      <c r="AE494" s="1963"/>
      <c r="AF494" s="1963"/>
      <c r="AG494" s="1963"/>
      <c r="AH494" s="196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1096</v>
      </c>
      <c r="F495" s="80"/>
      <c r="G495" s="80"/>
      <c r="H495" s="80"/>
      <c r="I495" s="80"/>
      <c r="J495" s="80"/>
      <c r="K495" s="80"/>
      <c r="L495" s="80"/>
      <c r="M495" s="80"/>
      <c r="N495" s="80"/>
      <c r="O495" s="80"/>
      <c r="P495" s="80"/>
      <c r="Q495" s="80"/>
      <c r="R495" s="80"/>
      <c r="S495" s="80"/>
      <c r="T495" s="1962" t="s">
        <v>627</v>
      </c>
      <c r="U495" s="1963"/>
      <c r="V495" s="1963"/>
      <c r="W495" s="1963"/>
      <c r="X495" s="1964"/>
      <c r="Y495" s="1962" t="s">
        <v>627</v>
      </c>
      <c r="Z495" s="1963"/>
      <c r="AA495" s="1963"/>
      <c r="AB495" s="1963"/>
      <c r="AC495" s="1964"/>
      <c r="AD495" s="1962" t="s">
        <v>627</v>
      </c>
      <c r="AE495" s="1963"/>
      <c r="AF495" s="1963"/>
      <c r="AG495" s="1963"/>
      <c r="AH495" s="196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26" t="s">
        <v>416</v>
      </c>
      <c r="R497" s="2127"/>
      <c r="S497" s="2127"/>
      <c r="T497" s="2127"/>
      <c r="U497" s="2127"/>
      <c r="V497" s="2127"/>
      <c r="W497" s="2127"/>
      <c r="X497" s="2127"/>
      <c r="Y497" s="2127"/>
      <c r="Z497" s="2127"/>
      <c r="AA497" s="2127"/>
      <c r="AB497" s="2127"/>
      <c r="AC497" s="2127"/>
      <c r="AD497" s="2127"/>
      <c r="AE497" s="2127"/>
      <c r="AF497" s="2127"/>
      <c r="AG497" s="2127"/>
      <c r="AH497" s="2127"/>
      <c r="AI497" s="2127"/>
      <c r="AJ497" s="2127"/>
      <c r="AK497" s="212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1998" t="s">
        <v>2600</v>
      </c>
      <c r="R498" s="1960"/>
      <c r="S498" s="1960"/>
      <c r="T498" s="1960"/>
      <c r="U498" s="1960"/>
      <c r="V498" s="1960"/>
      <c r="W498" s="1960"/>
      <c r="X498" s="1960"/>
      <c r="Y498" s="1960"/>
      <c r="Z498" s="1960"/>
      <c r="AA498" s="1960"/>
      <c r="AB498" s="1960"/>
      <c r="AC498" s="1960"/>
      <c r="AD498" s="1960"/>
      <c r="AE498" s="1960"/>
      <c r="AF498" s="1960"/>
      <c r="AG498" s="1960"/>
      <c r="AH498" s="1960"/>
      <c r="AI498" s="1960"/>
      <c r="AJ498" s="1960"/>
      <c r="AK498" s="199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1998" t="s">
        <v>2601</v>
      </c>
      <c r="R499" s="1960"/>
      <c r="S499" s="1960"/>
      <c r="T499" s="1960"/>
      <c r="U499" s="1960"/>
      <c r="V499" s="1960"/>
      <c r="W499" s="1960"/>
      <c r="X499" s="1960"/>
      <c r="Y499" s="1960"/>
      <c r="Z499" s="1960"/>
      <c r="AA499" s="1960"/>
      <c r="AB499" s="1960"/>
      <c r="AC499" s="1960"/>
      <c r="AD499" s="1960"/>
      <c r="AE499" s="1960"/>
      <c r="AF499" s="1960"/>
      <c r="AG499" s="1960"/>
      <c r="AH499" s="1960"/>
      <c r="AI499" s="1960"/>
      <c r="AJ499" s="1960"/>
      <c r="AK499" s="199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1996" t="s">
        <v>2492</v>
      </c>
      <c r="R500" s="1960"/>
      <c r="S500" s="1960"/>
      <c r="T500" s="1960"/>
      <c r="U500" s="1960"/>
      <c r="V500" s="1960"/>
      <c r="W500" s="1960"/>
      <c r="X500" s="1960"/>
      <c r="Y500" s="1960"/>
      <c r="Z500" s="1960"/>
      <c r="AA500" s="1960"/>
      <c r="AB500" s="1960"/>
      <c r="AC500" s="1960"/>
      <c r="AD500" s="1960"/>
      <c r="AE500" s="1960"/>
      <c r="AF500" s="1960"/>
      <c r="AG500" s="1960"/>
      <c r="AH500" s="1960"/>
      <c r="AI500" s="1960"/>
      <c r="AJ500" s="1960"/>
      <c r="AK500" s="199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29" t="s">
        <v>420</v>
      </c>
      <c r="C501" s="2130"/>
      <c r="D501" s="2130"/>
      <c r="E501" s="2130"/>
      <c r="F501" s="2130"/>
      <c r="G501" s="2130"/>
      <c r="H501" s="2130"/>
      <c r="I501" s="2130"/>
      <c r="J501" s="2130"/>
      <c r="K501" s="2130"/>
      <c r="L501" s="2130"/>
      <c r="M501" s="2130"/>
      <c r="N501" s="2130"/>
      <c r="O501" s="2130"/>
      <c r="P501" s="2131"/>
      <c r="Q501" s="1992" t="s">
        <v>707</v>
      </c>
      <c r="R501" s="1993"/>
      <c r="S501" s="2374" t="s">
        <v>171</v>
      </c>
      <c r="T501" s="2375"/>
      <c r="U501" s="2375"/>
      <c r="V501" s="2375"/>
      <c r="W501" s="2375"/>
      <c r="X501" s="2375"/>
      <c r="Y501" s="2375"/>
      <c r="Z501" s="2375"/>
      <c r="AA501" s="2375"/>
      <c r="AB501" s="2375"/>
      <c r="AC501" s="2375"/>
      <c r="AD501" s="2375"/>
      <c r="AE501" s="2375"/>
      <c r="AF501" s="2375"/>
      <c r="AG501" s="2375"/>
      <c r="AH501" s="2375"/>
      <c r="AI501" s="2375"/>
      <c r="AJ501" s="2375"/>
      <c r="AK501" s="237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32"/>
      <c r="C502" s="2133"/>
      <c r="D502" s="2133"/>
      <c r="E502" s="2133"/>
      <c r="F502" s="2133"/>
      <c r="G502" s="2133"/>
      <c r="H502" s="2133"/>
      <c r="I502" s="2133"/>
      <c r="J502" s="2133"/>
      <c r="K502" s="2133"/>
      <c r="L502" s="2133"/>
      <c r="M502" s="2133"/>
      <c r="N502" s="2133"/>
      <c r="O502" s="2133"/>
      <c r="P502" s="2134"/>
      <c r="Q502" s="1994"/>
      <c r="R502" s="1995"/>
      <c r="S502" s="2377"/>
      <c r="T502" s="2378"/>
      <c r="U502" s="2378"/>
      <c r="V502" s="2378"/>
      <c r="W502" s="2378"/>
      <c r="X502" s="2378"/>
      <c r="Y502" s="2378"/>
      <c r="Z502" s="2378"/>
      <c r="AA502" s="2378"/>
      <c r="AB502" s="2378"/>
      <c r="AC502" s="2378"/>
      <c r="AD502" s="2378"/>
      <c r="AE502" s="2378"/>
      <c r="AF502" s="2378"/>
      <c r="AG502" s="2378"/>
      <c r="AH502" s="2378"/>
      <c r="AI502" s="2378"/>
      <c r="AJ502" s="2378"/>
      <c r="AK502" s="237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5" t="s">
        <v>2043</v>
      </c>
      <c r="C503" s="1493"/>
      <c r="D503" s="1493"/>
      <c r="E503" s="1493"/>
      <c r="F503" s="1493"/>
      <c r="G503" s="1493"/>
      <c r="H503" s="1493"/>
      <c r="I503" s="1493"/>
      <c r="J503" s="1493"/>
      <c r="K503" s="1493"/>
      <c r="L503" s="1493"/>
      <c r="M503" s="1493"/>
      <c r="N503" s="1493"/>
      <c r="O503" s="1493"/>
      <c r="P503" s="1493"/>
      <c r="Q503" s="1999" t="s">
        <v>2597</v>
      </c>
      <c r="R503" s="2000"/>
      <c r="S503" s="2000"/>
      <c r="T503" s="2000"/>
      <c r="U503" s="2000"/>
      <c r="V503" s="2000"/>
      <c r="W503" s="2000"/>
      <c r="X503" s="2000"/>
      <c r="Y503" s="2000"/>
      <c r="Z503" s="2000"/>
      <c r="AA503" s="2000"/>
      <c r="AB503" s="2000"/>
      <c r="AC503" s="2000"/>
      <c r="AD503" s="2000"/>
      <c r="AE503" s="2000"/>
      <c r="AF503" s="2000"/>
      <c r="AG503" s="2000"/>
      <c r="AH503" s="2000"/>
      <c r="AI503" s="2000"/>
      <c r="AJ503" s="2000"/>
      <c r="AK503" s="200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1996" t="s">
        <v>2598</v>
      </c>
      <c r="R504" s="1960"/>
      <c r="S504" s="1960"/>
      <c r="T504" s="1960"/>
      <c r="U504" s="1960"/>
      <c r="V504" s="1960"/>
      <c r="W504" s="1960"/>
      <c r="X504" s="1960"/>
      <c r="Y504" s="1960"/>
      <c r="Z504" s="1960"/>
      <c r="AA504" s="1960"/>
      <c r="AB504" s="1960"/>
      <c r="AC504" s="1960"/>
      <c r="AD504" s="1960"/>
      <c r="AE504" s="1960"/>
      <c r="AF504" s="1960"/>
      <c r="AG504" s="1960"/>
      <c r="AH504" s="1960"/>
      <c r="AI504" s="1960"/>
      <c r="AJ504" s="1960"/>
      <c r="AK504" s="199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1998" t="s">
        <v>2599</v>
      </c>
      <c r="R505" s="1960"/>
      <c r="S505" s="1960"/>
      <c r="T505" s="1960"/>
      <c r="U505" s="1960"/>
      <c r="V505" s="1960"/>
      <c r="W505" s="1960"/>
      <c r="X505" s="1960"/>
      <c r="Y505" s="1960"/>
      <c r="Z505" s="1960"/>
      <c r="AA505" s="1960"/>
      <c r="AB505" s="1960"/>
      <c r="AC505" s="1960"/>
      <c r="AD505" s="1960"/>
      <c r="AE505" s="1960"/>
      <c r="AF505" s="1960"/>
      <c r="AG505" s="1960"/>
      <c r="AH505" s="1960"/>
      <c r="AI505" s="1960"/>
      <c r="AJ505" s="1960"/>
      <c r="AK505" s="199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2040</v>
      </c>
      <c r="C506" s="77"/>
      <c r="D506" s="77"/>
      <c r="E506" s="77"/>
      <c r="F506" s="77"/>
      <c r="G506" s="77"/>
      <c r="H506" s="77"/>
      <c r="I506" s="77"/>
      <c r="J506" s="77"/>
      <c r="K506" s="77"/>
      <c r="L506" s="77"/>
      <c r="M506" s="77"/>
      <c r="N506" s="77"/>
      <c r="O506" s="77"/>
      <c r="P506" s="77"/>
      <c r="Q506" s="2052">
        <v>180</v>
      </c>
      <c r="R506" s="1960"/>
      <c r="S506" s="1960"/>
      <c r="T506" s="1960"/>
      <c r="U506" s="1960"/>
      <c r="V506" s="1960"/>
      <c r="W506" s="1960"/>
      <c r="X506" s="1960"/>
      <c r="Y506" s="1960"/>
      <c r="Z506" s="1960"/>
      <c r="AA506" s="1960"/>
      <c r="AB506" s="1960"/>
      <c r="AC506" s="1960"/>
      <c r="AD506" s="1960"/>
      <c r="AE506" s="1960"/>
      <c r="AF506" s="1960"/>
      <c r="AG506" s="1960"/>
      <c r="AH506" s="1960"/>
      <c r="AI506" s="1960"/>
      <c r="AJ506" s="1960"/>
      <c r="AK506" s="199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2041</v>
      </c>
      <c r="C507" s="77"/>
      <c r="D507" s="77"/>
      <c r="E507" s="77"/>
      <c r="F507" s="77"/>
      <c r="G507" s="77"/>
      <c r="H507" s="77"/>
      <c r="I507" s="77"/>
      <c r="J507" s="77"/>
      <c r="K507" s="77"/>
      <c r="L507" s="77"/>
      <c r="M507" s="1979"/>
      <c r="N507" s="1980"/>
      <c r="O507" s="1980"/>
      <c r="P507" s="1981"/>
      <c r="Q507" s="1523" t="s">
        <v>2042</v>
      </c>
      <c r="R507" s="1524"/>
      <c r="S507" s="1524"/>
      <c r="T507" s="1524"/>
      <c r="U507" s="1524"/>
      <c r="V507" s="1524"/>
      <c r="W507" s="1524"/>
      <c r="X507" s="1524"/>
      <c r="Y507" s="1524"/>
      <c r="Z507" s="1524"/>
      <c r="AA507" s="1524"/>
      <c r="AB507" s="1524"/>
      <c r="AC507" s="1524"/>
      <c r="AD507" s="1524"/>
      <c r="AE507" s="1524"/>
      <c r="AF507" s="1524"/>
      <c r="AG507" s="1524"/>
      <c r="AH507" s="1979">
        <v>180</v>
      </c>
      <c r="AI507" s="1980"/>
      <c r="AJ507" s="1980"/>
      <c r="AK507" s="198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6" t="s">
        <v>424</v>
      </c>
      <c r="AD511" s="2127"/>
      <c r="AE511" s="2127"/>
      <c r="AF511" s="2127"/>
      <c r="AG511" s="2127"/>
      <c r="AH511" s="2127"/>
      <c r="AI511" s="2127"/>
      <c r="AJ511" s="2127"/>
      <c r="AK511" s="212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1989" t="s">
        <v>425</v>
      </c>
      <c r="AD512" s="1990"/>
      <c r="AE512" s="1990"/>
      <c r="AF512" s="1990"/>
      <c r="AG512" s="82" t="s">
        <v>426</v>
      </c>
      <c r="AH512" s="1990" t="s">
        <v>427</v>
      </c>
      <c r="AI512" s="1990"/>
      <c r="AJ512" s="1990"/>
      <c r="AK512" s="199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1967" t="s">
        <v>428</v>
      </c>
      <c r="C513" s="1968"/>
      <c r="D513" s="1968"/>
      <c r="E513" s="1968"/>
      <c r="F513" s="1968"/>
      <c r="G513" s="1968"/>
      <c r="H513" s="1969"/>
      <c r="I513" s="72" t="s">
        <v>429</v>
      </c>
      <c r="J513" s="72"/>
      <c r="K513" s="72"/>
      <c r="L513" s="72"/>
      <c r="M513" s="72"/>
      <c r="N513" s="72"/>
      <c r="O513" s="72"/>
      <c r="P513" s="72"/>
      <c r="Q513" s="72"/>
      <c r="R513" s="72"/>
      <c r="S513" s="72"/>
      <c r="T513" s="72"/>
      <c r="U513" s="72"/>
      <c r="V513" s="72"/>
      <c r="W513" s="72"/>
      <c r="X513" s="25"/>
      <c r="Y513" s="25"/>
      <c r="AC513" s="1965">
        <v>1</v>
      </c>
      <c r="AD513" s="1966"/>
      <c r="AE513" s="1966"/>
      <c r="AF513" s="1966"/>
      <c r="AG513" s="75" t="s">
        <v>426</v>
      </c>
      <c r="AH513" s="1949">
        <v>2021</v>
      </c>
      <c r="AI513" s="1949"/>
      <c r="AJ513" s="1949"/>
      <c r="AK513" s="195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1970"/>
      <c r="C514" s="1971"/>
      <c r="D514" s="1971"/>
      <c r="E514" s="1971"/>
      <c r="F514" s="1971"/>
      <c r="G514" s="1971"/>
      <c r="H514" s="1972"/>
      <c r="I514" s="80" t="s">
        <v>430</v>
      </c>
      <c r="J514" s="80"/>
      <c r="K514" s="80"/>
      <c r="L514" s="80"/>
      <c r="M514" s="80"/>
      <c r="N514" s="80"/>
      <c r="O514" s="80"/>
      <c r="P514" s="80"/>
      <c r="Q514" s="80"/>
      <c r="R514" s="80"/>
      <c r="S514" s="80"/>
      <c r="T514" s="80"/>
      <c r="U514" s="80"/>
      <c r="V514" s="80"/>
      <c r="W514" s="80"/>
      <c r="X514" s="80"/>
      <c r="Y514" s="80"/>
      <c r="Z514" s="80"/>
      <c r="AA514" s="80"/>
      <c r="AB514" s="80"/>
      <c r="AC514" s="1965">
        <v>9</v>
      </c>
      <c r="AD514" s="1966"/>
      <c r="AE514" s="1966"/>
      <c r="AF514" s="1966"/>
      <c r="AG514" s="65" t="s">
        <v>426</v>
      </c>
      <c r="AH514" s="1949">
        <v>2021</v>
      </c>
      <c r="AI514" s="1949"/>
      <c r="AJ514" s="1949"/>
      <c r="AK514" s="195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1967" t="s">
        <v>431</v>
      </c>
      <c r="C515" s="1968"/>
      <c r="D515" s="1968"/>
      <c r="E515" s="1968"/>
      <c r="F515" s="1968"/>
      <c r="G515" s="1968"/>
      <c r="H515" s="1969"/>
      <c r="I515" s="72" t="s">
        <v>432</v>
      </c>
      <c r="J515" s="72"/>
      <c r="K515" s="72"/>
      <c r="L515" s="72"/>
      <c r="M515" s="72"/>
      <c r="N515" s="72"/>
      <c r="O515" s="72"/>
      <c r="P515" s="72"/>
      <c r="Q515" s="72"/>
      <c r="R515" s="72"/>
      <c r="S515" s="72"/>
      <c r="T515" s="72"/>
      <c r="U515" s="72"/>
      <c r="V515" s="72"/>
      <c r="W515" s="72"/>
      <c r="X515" s="25"/>
      <c r="Y515" s="25"/>
      <c r="AC515" s="1965" t="s">
        <v>627</v>
      </c>
      <c r="AD515" s="1966"/>
      <c r="AE515" s="1966"/>
      <c r="AF515" s="1966"/>
      <c r="AG515" s="75" t="s">
        <v>426</v>
      </c>
      <c r="AH515" s="1949"/>
      <c r="AI515" s="1949"/>
      <c r="AJ515" s="1949"/>
      <c r="AK515" s="195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1970"/>
      <c r="C516" s="1971"/>
      <c r="D516" s="1971"/>
      <c r="E516" s="1971"/>
      <c r="F516" s="1971"/>
      <c r="G516" s="1971"/>
      <c r="H516" s="1972"/>
      <c r="I516" s="25" t="s">
        <v>433</v>
      </c>
      <c r="J516" s="25"/>
      <c r="K516" s="25"/>
      <c r="L516" s="25"/>
      <c r="M516" s="25"/>
      <c r="N516" s="25"/>
      <c r="O516" s="25"/>
      <c r="P516" s="25"/>
      <c r="Q516" s="25"/>
      <c r="R516" s="25"/>
      <c r="S516" s="25"/>
      <c r="T516" s="25"/>
      <c r="U516" s="25"/>
      <c r="V516" s="25"/>
      <c r="W516" s="25"/>
      <c r="X516" s="25"/>
      <c r="Y516" s="25"/>
      <c r="AC516" s="1965" t="s">
        <v>627</v>
      </c>
      <c r="AD516" s="1966"/>
      <c r="AE516" s="1966"/>
      <c r="AF516" s="1966"/>
      <c r="AG516" s="75" t="s">
        <v>426</v>
      </c>
      <c r="AH516" s="1949"/>
      <c r="AI516" s="1949"/>
      <c r="AJ516" s="1949"/>
      <c r="AK516" s="195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70"/>
      <c r="C517" s="1971"/>
      <c r="D517" s="1971"/>
      <c r="E517" s="1971"/>
      <c r="F517" s="1971"/>
      <c r="G517" s="1971"/>
      <c r="H517" s="1972"/>
      <c r="I517" s="25" t="s">
        <v>434</v>
      </c>
      <c r="J517" s="25"/>
      <c r="K517" s="25"/>
      <c r="L517" s="25"/>
      <c r="M517" s="25"/>
      <c r="N517" s="25"/>
      <c r="O517" s="25"/>
      <c r="P517" s="25"/>
      <c r="Q517" s="25"/>
      <c r="R517" s="25"/>
      <c r="S517" s="25"/>
      <c r="T517" s="25"/>
      <c r="U517" s="25"/>
      <c r="V517" s="25"/>
      <c r="W517" s="25"/>
      <c r="X517" s="25"/>
      <c r="Y517" s="25"/>
      <c r="AC517" s="1965">
        <v>7</v>
      </c>
      <c r="AD517" s="1966"/>
      <c r="AE517" s="1966"/>
      <c r="AF517" s="1966"/>
      <c r="AG517" s="75" t="s">
        <v>426</v>
      </c>
      <c r="AH517" s="1949">
        <v>2021</v>
      </c>
      <c r="AI517" s="1949"/>
      <c r="AJ517" s="1949"/>
      <c r="AK517" s="195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1970"/>
      <c r="C518" s="1971"/>
      <c r="D518" s="1971"/>
      <c r="E518" s="1971"/>
      <c r="F518" s="1971"/>
      <c r="G518" s="1971"/>
      <c r="H518" s="1972"/>
      <c r="I518" s="25" t="s">
        <v>435</v>
      </c>
      <c r="J518" s="25"/>
      <c r="K518" s="25"/>
      <c r="L518" s="25"/>
      <c r="M518" s="25"/>
      <c r="N518" s="25"/>
      <c r="O518" s="25"/>
      <c r="P518" s="25"/>
      <c r="Q518" s="25"/>
      <c r="R518" s="25"/>
      <c r="S518" s="25"/>
      <c r="T518" s="25"/>
      <c r="U518" s="25"/>
      <c r="V518" s="25"/>
      <c r="W518" s="25"/>
      <c r="X518" s="25"/>
      <c r="Y518" s="25"/>
      <c r="AC518" s="1965">
        <v>8</v>
      </c>
      <c r="AD518" s="1966"/>
      <c r="AE518" s="1966"/>
      <c r="AF518" s="1966"/>
      <c r="AG518" s="75" t="s">
        <v>426</v>
      </c>
      <c r="AH518" s="1949">
        <v>2021</v>
      </c>
      <c r="AI518" s="1949"/>
      <c r="AJ518" s="1949"/>
      <c r="AK518" s="195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1970"/>
      <c r="C519" s="1971"/>
      <c r="D519" s="1971"/>
      <c r="E519" s="1971"/>
      <c r="F519" s="1971"/>
      <c r="G519" s="1971"/>
      <c r="H519" s="1972"/>
      <c r="I519" s="177" t="s">
        <v>436</v>
      </c>
      <c r="J519" s="25"/>
      <c r="K519" s="25"/>
      <c r="L519" s="25"/>
      <c r="M519" s="25"/>
      <c r="N519" s="25"/>
      <c r="O519" s="25"/>
      <c r="P519" s="25"/>
      <c r="Q519" s="25"/>
      <c r="R519" s="25"/>
      <c r="S519" s="25"/>
      <c r="T519" s="25"/>
      <c r="U519" s="25"/>
      <c r="V519" s="25"/>
      <c r="W519" s="25"/>
      <c r="X519" s="25"/>
      <c r="Y519" s="25"/>
      <c r="AC519" s="1987">
        <v>8</v>
      </c>
      <c r="AD519" s="1988"/>
      <c r="AE519" s="1988"/>
      <c r="AF519" s="1988"/>
      <c r="AG519" s="75" t="s">
        <v>426</v>
      </c>
      <c r="AH519" s="1949">
        <v>2021</v>
      </c>
      <c r="AI519" s="1949"/>
      <c r="AJ519" s="1949"/>
      <c r="AK519" s="195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1970"/>
      <c r="C520" s="1971"/>
      <c r="D520" s="1971"/>
      <c r="E520" s="1971"/>
      <c r="F520" s="1971"/>
      <c r="G520" s="1971"/>
      <c r="H520" s="1972"/>
      <c r="I520" s="1526" t="s">
        <v>175</v>
      </c>
      <c r="J520" s="80"/>
      <c r="K520" s="80"/>
      <c r="L520" s="2002" t="s">
        <v>345</v>
      </c>
      <c r="M520" s="2003"/>
      <c r="N520" s="2003"/>
      <c r="O520" s="2003"/>
      <c r="P520" s="2003"/>
      <c r="Q520" s="2003"/>
      <c r="R520" s="2003"/>
      <c r="S520" s="2003"/>
      <c r="T520" s="2003"/>
      <c r="U520" s="2003"/>
      <c r="V520" s="2003"/>
      <c r="W520" s="2003"/>
      <c r="X520" s="2003"/>
      <c r="Y520" s="2003"/>
      <c r="Z520" s="2003"/>
      <c r="AA520" s="2003"/>
      <c r="AB520" s="2004"/>
      <c r="AC520" s="1965" t="s">
        <v>627</v>
      </c>
      <c r="AD520" s="1966"/>
      <c r="AE520" s="1966"/>
      <c r="AF520" s="1966"/>
      <c r="AG520" s="1497" t="s">
        <v>426</v>
      </c>
      <c r="AH520" s="1949"/>
      <c r="AI520" s="1949"/>
      <c r="AJ520" s="1949"/>
      <c r="AK520" s="195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1984" t="s">
        <v>1387</v>
      </c>
      <c r="AD521" s="1984"/>
      <c r="AE521" s="1984"/>
      <c r="AF521" s="1984"/>
      <c r="AG521" s="1805"/>
      <c r="AH521" s="2055"/>
      <c r="AI521" s="2055"/>
      <c r="AJ521" s="2055"/>
      <c r="AK521" s="205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1987"/>
      <c r="AD522" s="1988"/>
      <c r="AE522" s="1988"/>
      <c r="AF522" s="2057"/>
      <c r="AG522" s="1805"/>
      <c r="AH522" s="2055"/>
      <c r="AI522" s="2055"/>
      <c r="AJ522" s="2055"/>
      <c r="AK522" s="205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1976"/>
      <c r="AD524" s="1977"/>
      <c r="AE524" s="1977"/>
      <c r="AF524" s="1978"/>
      <c r="AG524" s="1806"/>
      <c r="AH524" s="1982"/>
      <c r="AI524" s="1982"/>
      <c r="AJ524" s="1982"/>
      <c r="AK524" s="198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13" t="s">
        <v>425</v>
      </c>
      <c r="AD525" s="1985"/>
      <c r="AE525" s="1985"/>
      <c r="AF525" s="1985"/>
      <c r="AG525" s="1806" t="s">
        <v>426</v>
      </c>
      <c r="AH525" s="1985" t="s">
        <v>427</v>
      </c>
      <c r="AI525" s="1985"/>
      <c r="AJ525" s="1985"/>
      <c r="AK525" s="198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67" t="s">
        <v>437</v>
      </c>
      <c r="C526" s="1968"/>
      <c r="D526" s="1968"/>
      <c r="E526" s="1968"/>
      <c r="F526" s="1968"/>
      <c r="G526" s="1968"/>
      <c r="H526" s="1969"/>
      <c r="I526" s="72" t="s">
        <v>438</v>
      </c>
      <c r="J526" s="72"/>
      <c r="K526" s="72"/>
      <c r="L526" s="72"/>
      <c r="M526" s="72"/>
      <c r="N526" s="72"/>
      <c r="O526" s="72"/>
      <c r="P526" s="72"/>
      <c r="Q526" s="72"/>
      <c r="R526" s="72"/>
      <c r="S526" s="72"/>
      <c r="T526" s="72"/>
      <c r="U526" s="72"/>
      <c r="V526" s="72"/>
      <c r="W526" s="72"/>
      <c r="X526" s="25"/>
      <c r="Y526" s="25"/>
      <c r="AC526" s="1965">
        <v>1</v>
      </c>
      <c r="AD526" s="1966"/>
      <c r="AE526" s="1966"/>
      <c r="AF526" s="1966"/>
      <c r="AG526" s="75" t="s">
        <v>426</v>
      </c>
      <c r="AH526" s="1949">
        <v>2021</v>
      </c>
      <c r="AI526" s="1949"/>
      <c r="AJ526" s="1949"/>
      <c r="AK526" s="195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1970"/>
      <c r="C527" s="1971"/>
      <c r="D527" s="1971"/>
      <c r="E527" s="1971"/>
      <c r="F527" s="1971"/>
      <c r="G527" s="1971"/>
      <c r="H527" s="1972"/>
      <c r="I527" s="25" t="s">
        <v>439</v>
      </c>
      <c r="J527" s="25"/>
      <c r="K527" s="25"/>
      <c r="L527" s="25"/>
      <c r="M527" s="25"/>
      <c r="N527" s="25"/>
      <c r="O527" s="25"/>
      <c r="P527" s="25"/>
      <c r="Q527" s="25"/>
      <c r="R527" s="25"/>
      <c r="S527" s="25"/>
      <c r="T527" s="25"/>
      <c r="U527" s="25"/>
      <c r="V527" s="25"/>
      <c r="W527" s="25"/>
      <c r="X527" s="25"/>
      <c r="Y527" s="25"/>
      <c r="AC527" s="1965">
        <v>1</v>
      </c>
      <c r="AD527" s="1966"/>
      <c r="AE527" s="1966"/>
      <c r="AF527" s="1966"/>
      <c r="AG527" s="75" t="s">
        <v>426</v>
      </c>
      <c r="AH527" s="1949">
        <v>2021</v>
      </c>
      <c r="AI527" s="1949"/>
      <c r="AJ527" s="1949"/>
      <c r="AK527" s="195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1970"/>
      <c r="C528" s="1971"/>
      <c r="D528" s="1971"/>
      <c r="E528" s="1971"/>
      <c r="F528" s="1971"/>
      <c r="G528" s="1971"/>
      <c r="H528" s="1972"/>
      <c r="I528" s="80" t="s">
        <v>440</v>
      </c>
      <c r="J528" s="80"/>
      <c r="K528" s="80"/>
      <c r="L528" s="80"/>
      <c r="M528" s="80"/>
      <c r="N528" s="80"/>
      <c r="O528" s="80"/>
      <c r="P528" s="80"/>
      <c r="Q528" s="80"/>
      <c r="R528" s="80"/>
      <c r="S528" s="80"/>
      <c r="T528" s="80"/>
      <c r="U528" s="80"/>
      <c r="V528" s="80"/>
      <c r="W528" s="80"/>
      <c r="X528" s="80"/>
      <c r="Y528" s="80"/>
      <c r="Z528" s="80"/>
      <c r="AA528" s="80"/>
      <c r="AB528" s="80"/>
      <c r="AC528" s="1965">
        <v>9</v>
      </c>
      <c r="AD528" s="1966"/>
      <c r="AE528" s="1966"/>
      <c r="AF528" s="1966"/>
      <c r="AG528" s="65" t="s">
        <v>426</v>
      </c>
      <c r="AH528" s="1949">
        <v>2021</v>
      </c>
      <c r="AI528" s="1949"/>
      <c r="AJ528" s="1949"/>
      <c r="AK528" s="195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1967" t="s">
        <v>441</v>
      </c>
      <c r="C529" s="1968"/>
      <c r="D529" s="1968"/>
      <c r="E529" s="1968"/>
      <c r="F529" s="1968"/>
      <c r="G529" s="1968"/>
      <c r="H529" s="1969"/>
      <c r="I529" s="72" t="s">
        <v>438</v>
      </c>
      <c r="J529" s="72"/>
      <c r="K529" s="72"/>
      <c r="L529" s="72"/>
      <c r="M529" s="72"/>
      <c r="N529" s="72"/>
      <c r="O529" s="72"/>
      <c r="P529" s="72"/>
      <c r="Q529" s="72"/>
      <c r="R529" s="72"/>
      <c r="S529" s="72"/>
      <c r="T529" s="72"/>
      <c r="U529" s="72"/>
      <c r="V529" s="72"/>
      <c r="W529" s="72"/>
      <c r="X529" s="72"/>
      <c r="Y529" s="72"/>
      <c r="Z529" s="72"/>
      <c r="AA529" s="72"/>
      <c r="AB529" s="72"/>
      <c r="AC529" s="1987">
        <v>1</v>
      </c>
      <c r="AD529" s="1988"/>
      <c r="AE529" s="1988"/>
      <c r="AF529" s="1988"/>
      <c r="AG529" s="196" t="s">
        <v>426</v>
      </c>
      <c r="AH529" s="1949">
        <v>2021</v>
      </c>
      <c r="AI529" s="1949"/>
      <c r="AJ529" s="1949"/>
      <c r="AK529" s="195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1970"/>
      <c r="C530" s="1971"/>
      <c r="D530" s="1971"/>
      <c r="E530" s="1971"/>
      <c r="F530" s="1971"/>
      <c r="G530" s="1971"/>
      <c r="H530" s="1972"/>
      <c r="I530" s="25" t="s">
        <v>439</v>
      </c>
      <c r="J530" s="25"/>
      <c r="K530" s="25"/>
      <c r="L530" s="25"/>
      <c r="M530" s="25"/>
      <c r="N530" s="25"/>
      <c r="O530" s="25"/>
      <c r="P530" s="25"/>
      <c r="Q530" s="25"/>
      <c r="R530" s="25"/>
      <c r="S530" s="25"/>
      <c r="T530" s="25"/>
      <c r="U530" s="25"/>
      <c r="V530" s="25"/>
      <c r="W530" s="25"/>
      <c r="X530" s="25"/>
      <c r="Y530" s="25"/>
      <c r="Z530" s="25"/>
      <c r="AA530" s="25"/>
      <c r="AB530" s="25"/>
      <c r="AC530" s="1965">
        <v>1</v>
      </c>
      <c r="AD530" s="1966"/>
      <c r="AE530" s="1966"/>
      <c r="AF530" s="1966"/>
      <c r="AG530" s="75" t="s">
        <v>426</v>
      </c>
      <c r="AH530" s="1949">
        <v>2021</v>
      </c>
      <c r="AI530" s="1949"/>
      <c r="AJ530" s="1949"/>
      <c r="AK530" s="195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1973"/>
      <c r="C531" s="1974"/>
      <c r="D531" s="1974"/>
      <c r="E531" s="1974"/>
      <c r="F531" s="1974"/>
      <c r="G531" s="1974"/>
      <c r="H531" s="1975"/>
      <c r="I531" s="80" t="s">
        <v>440</v>
      </c>
      <c r="J531" s="80"/>
      <c r="K531" s="80"/>
      <c r="L531" s="80"/>
      <c r="M531" s="80"/>
      <c r="N531" s="80"/>
      <c r="O531" s="80"/>
      <c r="P531" s="80"/>
      <c r="Q531" s="80"/>
      <c r="R531" s="80"/>
      <c r="S531" s="80"/>
      <c r="T531" s="80"/>
      <c r="U531" s="80"/>
      <c r="V531" s="80"/>
      <c r="W531" s="80"/>
      <c r="X531" s="80"/>
      <c r="Y531" s="80"/>
      <c r="Z531" s="80"/>
      <c r="AA531" s="80"/>
      <c r="AB531" s="80"/>
      <c r="AC531" s="1965">
        <v>3</v>
      </c>
      <c r="AD531" s="1966"/>
      <c r="AE531" s="1966"/>
      <c r="AF531" s="1966"/>
      <c r="AG531" s="65" t="s">
        <v>426</v>
      </c>
      <c r="AH531" s="1949">
        <v>2023</v>
      </c>
      <c r="AI531" s="1949"/>
      <c r="AJ531" s="1949"/>
      <c r="AK531" s="195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1967" t="s">
        <v>442</v>
      </c>
      <c r="C532" s="1968"/>
      <c r="D532" s="1968"/>
      <c r="E532" s="1968"/>
      <c r="F532" s="1968"/>
      <c r="G532" s="1968"/>
      <c r="H532" s="1969"/>
      <c r="I532" s="71" t="s">
        <v>443</v>
      </c>
      <c r="J532" s="72"/>
      <c r="K532" s="72"/>
      <c r="L532" s="72"/>
      <c r="M532" s="72"/>
      <c r="N532" s="72"/>
      <c r="O532" s="1955" t="s">
        <v>345</v>
      </c>
      <c r="P532" s="1955"/>
      <c r="Q532" s="1955"/>
      <c r="R532" s="1955"/>
      <c r="S532" s="1955"/>
      <c r="T532" s="1955"/>
      <c r="U532" s="1955"/>
      <c r="V532" s="1955"/>
      <c r="W532" s="1955"/>
      <c r="X532" s="1955"/>
      <c r="Y532" s="1955"/>
      <c r="Z532" s="1955"/>
      <c r="AA532" s="1955"/>
      <c r="AB532" s="94"/>
      <c r="AC532" s="1987" t="s">
        <v>627</v>
      </c>
      <c r="AD532" s="1988"/>
      <c r="AE532" s="1988"/>
      <c r="AF532" s="1988"/>
      <c r="AG532" s="196" t="s">
        <v>426</v>
      </c>
      <c r="AH532" s="1949"/>
      <c r="AI532" s="1949"/>
      <c r="AJ532" s="1949"/>
      <c r="AK532" s="195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1970"/>
      <c r="C533" s="1971"/>
      <c r="D533" s="1971"/>
      <c r="E533" s="1971"/>
      <c r="F533" s="1971"/>
      <c r="G533" s="1971"/>
      <c r="H533" s="1972"/>
      <c r="I533" s="171" t="s">
        <v>444</v>
      </c>
      <c r="J533" s="25"/>
      <c r="K533" s="25"/>
      <c r="L533" s="25"/>
      <c r="M533" s="25"/>
      <c r="N533" s="25"/>
      <c r="O533" s="25"/>
      <c r="P533" s="25"/>
      <c r="Q533" s="25"/>
      <c r="R533" s="25"/>
      <c r="S533" s="25"/>
      <c r="T533" s="25"/>
      <c r="U533" s="25"/>
      <c r="V533" s="25"/>
      <c r="W533" s="25"/>
      <c r="X533" s="25"/>
      <c r="Y533" s="25"/>
      <c r="Z533" s="25"/>
      <c r="AA533" s="25"/>
      <c r="AB533" s="101"/>
      <c r="AC533" s="1965">
        <v>3</v>
      </c>
      <c r="AD533" s="1966"/>
      <c r="AE533" s="1966"/>
      <c r="AF533" s="1966"/>
      <c r="AG533" s="75" t="s">
        <v>426</v>
      </c>
      <c r="AH533" s="1949">
        <v>2020</v>
      </c>
      <c r="AI533" s="1949"/>
      <c r="AJ533" s="1949"/>
      <c r="AK533" s="195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1970"/>
      <c r="C534" s="1971"/>
      <c r="D534" s="1971"/>
      <c r="E534" s="1971"/>
      <c r="F534" s="1971"/>
      <c r="G534" s="1971"/>
      <c r="H534" s="1972"/>
      <c r="I534" s="79" t="s">
        <v>445</v>
      </c>
      <c r="J534" s="80"/>
      <c r="K534" s="80"/>
      <c r="L534" s="80"/>
      <c r="M534" s="80"/>
      <c r="N534" s="80"/>
      <c r="O534" s="80"/>
      <c r="P534" s="80"/>
      <c r="Q534" s="80"/>
      <c r="R534" s="80"/>
      <c r="S534" s="80"/>
      <c r="T534" s="80"/>
      <c r="U534" s="80"/>
      <c r="V534" s="80"/>
      <c r="W534" s="80"/>
      <c r="X534" s="80"/>
      <c r="Y534" s="80"/>
      <c r="Z534" s="80"/>
      <c r="AA534" s="80"/>
      <c r="AB534" s="81"/>
      <c r="AC534" s="1965">
        <v>7</v>
      </c>
      <c r="AD534" s="1966"/>
      <c r="AE534" s="1966"/>
      <c r="AF534" s="1966"/>
      <c r="AG534" s="65" t="s">
        <v>426</v>
      </c>
      <c r="AH534" s="1949">
        <v>2020</v>
      </c>
      <c r="AI534" s="1949"/>
      <c r="AJ534" s="1949"/>
      <c r="AK534" s="195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1970"/>
      <c r="C535" s="1971"/>
      <c r="D535" s="1971"/>
      <c r="E535" s="1971"/>
      <c r="F535" s="1971"/>
      <c r="G535" s="1971"/>
      <c r="H535" s="1972"/>
      <c r="I535" s="72" t="s">
        <v>446</v>
      </c>
      <c r="J535" s="72"/>
      <c r="K535" s="72"/>
      <c r="L535" s="72"/>
      <c r="M535" s="72"/>
      <c r="N535" s="72"/>
      <c r="O535" s="1955" t="s">
        <v>345</v>
      </c>
      <c r="P535" s="1955"/>
      <c r="Q535" s="1955"/>
      <c r="R535" s="1955"/>
      <c r="S535" s="1955"/>
      <c r="T535" s="1955"/>
      <c r="U535" s="1955"/>
      <c r="V535" s="1955"/>
      <c r="W535" s="1955"/>
      <c r="X535" s="1955"/>
      <c r="Y535" s="1955"/>
      <c r="Z535" s="1955"/>
      <c r="AA535" s="1955"/>
      <c r="AC535" s="1965" t="s">
        <v>627</v>
      </c>
      <c r="AD535" s="1966"/>
      <c r="AE535" s="1966"/>
      <c r="AF535" s="1966"/>
      <c r="AG535" s="75" t="s">
        <v>426</v>
      </c>
      <c r="AH535" s="1949"/>
      <c r="AI535" s="1949"/>
      <c r="AJ535" s="1949"/>
      <c r="AK535" s="195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1970"/>
      <c r="C536" s="1971"/>
      <c r="D536" s="1971"/>
      <c r="E536" s="1971"/>
      <c r="F536" s="1971"/>
      <c r="G536" s="1971"/>
      <c r="H536" s="1972"/>
      <c r="I536" s="25" t="s">
        <v>444</v>
      </c>
      <c r="J536" s="25"/>
      <c r="K536" s="25"/>
      <c r="L536" s="25"/>
      <c r="M536" s="25"/>
      <c r="N536" s="25"/>
      <c r="O536" s="25"/>
      <c r="P536" s="25"/>
      <c r="Q536" s="25"/>
      <c r="R536" s="25"/>
      <c r="S536" s="25"/>
      <c r="T536" s="25"/>
      <c r="U536" s="25"/>
      <c r="V536" s="25"/>
      <c r="W536" s="25"/>
      <c r="X536" s="25"/>
      <c r="Y536" s="25"/>
      <c r="AC536" s="1965" t="s">
        <v>627</v>
      </c>
      <c r="AD536" s="1966"/>
      <c r="AE536" s="1966"/>
      <c r="AF536" s="1966"/>
      <c r="AG536" s="75" t="s">
        <v>426</v>
      </c>
      <c r="AH536" s="1949"/>
      <c r="AI536" s="1949"/>
      <c r="AJ536" s="1949"/>
      <c r="AK536" s="195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1970"/>
      <c r="C537" s="1971"/>
      <c r="D537" s="1971"/>
      <c r="E537" s="1971"/>
      <c r="F537" s="1971"/>
      <c r="G537" s="1971"/>
      <c r="H537" s="1972"/>
      <c r="I537" s="80" t="s">
        <v>445</v>
      </c>
      <c r="J537" s="80"/>
      <c r="K537" s="80"/>
      <c r="L537" s="80"/>
      <c r="M537" s="80"/>
      <c r="N537" s="80"/>
      <c r="O537" s="80"/>
      <c r="P537" s="80"/>
      <c r="Q537" s="80"/>
      <c r="R537" s="80"/>
      <c r="S537" s="80"/>
      <c r="T537" s="80"/>
      <c r="U537" s="80"/>
      <c r="V537" s="80"/>
      <c r="W537" s="80"/>
      <c r="X537" s="80"/>
      <c r="Y537" s="80"/>
      <c r="Z537" s="80"/>
      <c r="AA537" s="80"/>
      <c r="AB537" s="80"/>
      <c r="AC537" s="1965" t="s">
        <v>627</v>
      </c>
      <c r="AD537" s="1966"/>
      <c r="AE537" s="1966"/>
      <c r="AF537" s="1966"/>
      <c r="AG537" s="65" t="s">
        <v>426</v>
      </c>
      <c r="AH537" s="1949"/>
      <c r="AI537" s="1949"/>
      <c r="AJ537" s="1949"/>
      <c r="AK537" s="195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1970"/>
      <c r="C538" s="1971"/>
      <c r="D538" s="1971"/>
      <c r="E538" s="1971"/>
      <c r="F538" s="1971"/>
      <c r="G538" s="1971"/>
      <c r="H538" s="1972"/>
      <c r="I538" s="72" t="s">
        <v>446</v>
      </c>
      <c r="J538" s="72"/>
      <c r="K538" s="72"/>
      <c r="L538" s="72"/>
      <c r="M538" s="72"/>
      <c r="N538" s="72"/>
      <c r="O538" s="1955" t="s">
        <v>345</v>
      </c>
      <c r="P538" s="1955"/>
      <c r="Q538" s="1955"/>
      <c r="R538" s="1955"/>
      <c r="S538" s="1955"/>
      <c r="T538" s="1955"/>
      <c r="U538" s="1955"/>
      <c r="V538" s="1955"/>
      <c r="W538" s="1955"/>
      <c r="X538" s="1955"/>
      <c r="Y538" s="1955"/>
      <c r="Z538" s="1955"/>
      <c r="AA538" s="1955"/>
      <c r="AC538" s="1965" t="s">
        <v>627</v>
      </c>
      <c r="AD538" s="1966"/>
      <c r="AE538" s="1966"/>
      <c r="AF538" s="1966"/>
      <c r="AG538" s="75" t="s">
        <v>426</v>
      </c>
      <c r="AH538" s="1949"/>
      <c r="AI538" s="1949"/>
      <c r="AJ538" s="1949"/>
      <c r="AK538" s="195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1970"/>
      <c r="C539" s="1971"/>
      <c r="D539" s="1971"/>
      <c r="E539" s="1971"/>
      <c r="F539" s="1971"/>
      <c r="G539" s="1971"/>
      <c r="H539" s="1972"/>
      <c r="I539" s="25" t="s">
        <v>444</v>
      </c>
      <c r="J539" s="25"/>
      <c r="K539" s="25"/>
      <c r="L539" s="25"/>
      <c r="M539" s="25"/>
      <c r="N539" s="25"/>
      <c r="O539" s="25"/>
      <c r="P539" s="25"/>
      <c r="Q539" s="25"/>
      <c r="R539" s="25"/>
      <c r="S539" s="25"/>
      <c r="T539" s="25"/>
      <c r="U539" s="25"/>
      <c r="V539" s="25"/>
      <c r="W539" s="25"/>
      <c r="X539" s="25"/>
      <c r="Y539" s="25"/>
      <c r="AC539" s="1965" t="s">
        <v>627</v>
      </c>
      <c r="AD539" s="1966"/>
      <c r="AE539" s="1966"/>
      <c r="AF539" s="1966"/>
      <c r="AG539" s="75" t="s">
        <v>426</v>
      </c>
      <c r="AH539" s="1949"/>
      <c r="AI539" s="1949"/>
      <c r="AJ539" s="1949"/>
      <c r="AK539" s="195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1970"/>
      <c r="C540" s="1971"/>
      <c r="D540" s="1971"/>
      <c r="E540" s="1971"/>
      <c r="F540" s="1971"/>
      <c r="G540" s="1971"/>
      <c r="H540" s="1972"/>
      <c r="I540" s="80" t="s">
        <v>445</v>
      </c>
      <c r="J540" s="80"/>
      <c r="K540" s="80"/>
      <c r="L540" s="80"/>
      <c r="M540" s="80"/>
      <c r="N540" s="80"/>
      <c r="O540" s="80"/>
      <c r="P540" s="80"/>
      <c r="Q540" s="80"/>
      <c r="R540" s="80"/>
      <c r="S540" s="80"/>
      <c r="T540" s="80"/>
      <c r="U540" s="80"/>
      <c r="V540" s="80"/>
      <c r="W540" s="80"/>
      <c r="X540" s="80"/>
      <c r="Y540" s="80"/>
      <c r="Z540" s="80"/>
      <c r="AA540" s="80"/>
      <c r="AB540" s="80"/>
      <c r="AC540" s="1965" t="s">
        <v>627</v>
      </c>
      <c r="AD540" s="1966"/>
      <c r="AE540" s="1966"/>
      <c r="AF540" s="1966"/>
      <c r="AG540" s="65" t="s">
        <v>426</v>
      </c>
      <c r="AH540" s="1949"/>
      <c r="AI540" s="1949"/>
      <c r="AJ540" s="1949"/>
      <c r="AK540" s="195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1970"/>
      <c r="C541" s="1971"/>
      <c r="D541" s="1971"/>
      <c r="E541" s="1971"/>
      <c r="F541" s="1971"/>
      <c r="G541" s="1971"/>
      <c r="H541" s="1972"/>
      <c r="I541" s="72" t="s">
        <v>446</v>
      </c>
      <c r="J541" s="72"/>
      <c r="K541" s="72"/>
      <c r="L541" s="72"/>
      <c r="M541" s="72"/>
      <c r="N541" s="72"/>
      <c r="O541" s="1955" t="s">
        <v>345</v>
      </c>
      <c r="P541" s="1955"/>
      <c r="Q541" s="1955"/>
      <c r="R541" s="1955"/>
      <c r="S541" s="1955"/>
      <c r="T541" s="1955"/>
      <c r="U541" s="1955"/>
      <c r="V541" s="1955"/>
      <c r="W541" s="1955"/>
      <c r="X541" s="1955"/>
      <c r="Y541" s="1955"/>
      <c r="Z541" s="1955"/>
      <c r="AA541" s="1955"/>
      <c r="AC541" s="1965" t="s">
        <v>627</v>
      </c>
      <c r="AD541" s="1966"/>
      <c r="AE541" s="1966"/>
      <c r="AF541" s="1966"/>
      <c r="AG541" s="75" t="s">
        <v>426</v>
      </c>
      <c r="AH541" s="1949"/>
      <c r="AI541" s="1949"/>
      <c r="AJ541" s="1949"/>
      <c r="AK541" s="195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1970"/>
      <c r="C542" s="1971"/>
      <c r="D542" s="1971"/>
      <c r="E542" s="1971"/>
      <c r="F542" s="1971"/>
      <c r="G542" s="1971"/>
      <c r="H542" s="1972"/>
      <c r="I542" s="25" t="s">
        <v>444</v>
      </c>
      <c r="J542" s="25"/>
      <c r="K542" s="25"/>
      <c r="L542" s="25"/>
      <c r="M542" s="25"/>
      <c r="N542" s="25"/>
      <c r="O542" s="25"/>
      <c r="P542" s="25"/>
      <c r="Q542" s="25"/>
      <c r="R542" s="25"/>
      <c r="S542" s="25"/>
      <c r="T542" s="25"/>
      <c r="U542" s="25"/>
      <c r="V542" s="25"/>
      <c r="W542" s="25"/>
      <c r="X542" s="25"/>
      <c r="Y542" s="25"/>
      <c r="AC542" s="1965" t="s">
        <v>627</v>
      </c>
      <c r="AD542" s="1966"/>
      <c r="AE542" s="1966"/>
      <c r="AF542" s="1966"/>
      <c r="AG542" s="75" t="s">
        <v>426</v>
      </c>
      <c r="AH542" s="1949"/>
      <c r="AI542" s="1949"/>
      <c r="AJ542" s="1949"/>
      <c r="AK542" s="195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1970"/>
      <c r="C543" s="1971"/>
      <c r="D543" s="1971"/>
      <c r="E543" s="1971"/>
      <c r="F543" s="1971"/>
      <c r="G543" s="1971"/>
      <c r="H543" s="1972"/>
      <c r="I543" s="80" t="s">
        <v>445</v>
      </c>
      <c r="J543" s="80"/>
      <c r="K543" s="80"/>
      <c r="L543" s="80"/>
      <c r="M543" s="80"/>
      <c r="N543" s="80"/>
      <c r="O543" s="80"/>
      <c r="P543" s="80"/>
      <c r="Q543" s="80"/>
      <c r="R543" s="80"/>
      <c r="S543" s="80"/>
      <c r="T543" s="80"/>
      <c r="U543" s="80"/>
      <c r="V543" s="80"/>
      <c r="W543" s="80"/>
      <c r="X543" s="80"/>
      <c r="Y543" s="80"/>
      <c r="Z543" s="80"/>
      <c r="AA543" s="80"/>
      <c r="AB543" s="80"/>
      <c r="AC543" s="1965" t="s">
        <v>627</v>
      </c>
      <c r="AD543" s="1966"/>
      <c r="AE543" s="1966"/>
      <c r="AF543" s="1966"/>
      <c r="AG543" s="65" t="s">
        <v>426</v>
      </c>
      <c r="AH543" s="1949"/>
      <c r="AI543" s="1949"/>
      <c r="AJ543" s="1949"/>
      <c r="AK543" s="195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1970"/>
      <c r="C544" s="1971"/>
      <c r="D544" s="1971"/>
      <c r="E544" s="1971"/>
      <c r="F544" s="1971"/>
      <c r="G544" s="1971"/>
      <c r="H544" s="1972"/>
      <c r="I544" s="72" t="s">
        <v>446</v>
      </c>
      <c r="J544" s="72"/>
      <c r="K544" s="72"/>
      <c r="L544" s="72"/>
      <c r="M544" s="72"/>
      <c r="N544" s="72"/>
      <c r="O544" s="1955" t="s">
        <v>345</v>
      </c>
      <c r="P544" s="1955"/>
      <c r="Q544" s="1955"/>
      <c r="R544" s="1955"/>
      <c r="S544" s="1955"/>
      <c r="T544" s="1955"/>
      <c r="U544" s="1955"/>
      <c r="V544" s="1955"/>
      <c r="W544" s="1955"/>
      <c r="X544" s="1955"/>
      <c r="Y544" s="1955"/>
      <c r="Z544" s="1955"/>
      <c r="AA544" s="1955"/>
      <c r="AC544" s="1965" t="s">
        <v>627</v>
      </c>
      <c r="AD544" s="1966"/>
      <c r="AE544" s="1966"/>
      <c r="AF544" s="1966"/>
      <c r="AG544" s="75" t="s">
        <v>426</v>
      </c>
      <c r="AH544" s="1949"/>
      <c r="AI544" s="1949"/>
      <c r="AJ544" s="1949"/>
      <c r="AK544" s="195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1970"/>
      <c r="C545" s="1971"/>
      <c r="D545" s="1971"/>
      <c r="E545" s="1971"/>
      <c r="F545" s="1971"/>
      <c r="G545" s="1971"/>
      <c r="H545" s="1972"/>
      <c r="I545" s="25" t="s">
        <v>444</v>
      </c>
      <c r="J545" s="25"/>
      <c r="K545" s="25"/>
      <c r="L545" s="25"/>
      <c r="M545" s="25"/>
      <c r="N545" s="25"/>
      <c r="O545" s="25"/>
      <c r="P545" s="25"/>
      <c r="Q545" s="25"/>
      <c r="R545" s="25"/>
      <c r="S545" s="25"/>
      <c r="T545" s="25"/>
      <c r="U545" s="25"/>
      <c r="V545" s="25"/>
      <c r="W545" s="25"/>
      <c r="X545" s="25"/>
      <c r="Y545" s="25"/>
      <c r="AC545" s="1965" t="s">
        <v>627</v>
      </c>
      <c r="AD545" s="1966"/>
      <c r="AE545" s="1966"/>
      <c r="AF545" s="1966"/>
      <c r="AG545" s="65" t="s">
        <v>426</v>
      </c>
      <c r="AH545" s="1949"/>
      <c r="AI545" s="1949"/>
      <c r="AJ545" s="1949"/>
      <c r="AK545" s="195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1970"/>
      <c r="C546" s="1971"/>
      <c r="D546" s="1971"/>
      <c r="E546" s="1971"/>
      <c r="F546" s="1971"/>
      <c r="G546" s="1971"/>
      <c r="H546" s="1972"/>
      <c r="I546" s="80" t="s">
        <v>445</v>
      </c>
      <c r="J546" s="80"/>
      <c r="K546" s="80"/>
      <c r="L546" s="80"/>
      <c r="M546" s="80"/>
      <c r="N546" s="80"/>
      <c r="O546" s="80"/>
      <c r="P546" s="80"/>
      <c r="Q546" s="80"/>
      <c r="R546" s="80"/>
      <c r="S546" s="80"/>
      <c r="T546" s="80"/>
      <c r="U546" s="80"/>
      <c r="V546" s="80"/>
      <c r="W546" s="80"/>
      <c r="X546" s="80"/>
      <c r="Y546" s="80"/>
      <c r="Z546" s="80"/>
      <c r="AA546" s="80"/>
      <c r="AB546" s="80"/>
      <c r="AC546" s="1965" t="s">
        <v>627</v>
      </c>
      <c r="AD546" s="1966"/>
      <c r="AE546" s="1966"/>
      <c r="AF546" s="1966"/>
      <c r="AG546" s="75" t="s">
        <v>426</v>
      </c>
      <c r="AH546" s="1949"/>
      <c r="AI546" s="1949"/>
      <c r="AJ546" s="1949"/>
      <c r="AK546" s="195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1970"/>
      <c r="C547" s="1971"/>
      <c r="D547" s="1971"/>
      <c r="E547" s="1971"/>
      <c r="F547" s="1971"/>
      <c r="G547" s="1971"/>
      <c r="H547" s="1972"/>
      <c r="I547" s="72" t="s">
        <v>446</v>
      </c>
      <c r="J547" s="72"/>
      <c r="K547" s="72"/>
      <c r="L547" s="72"/>
      <c r="M547" s="72"/>
      <c r="N547" s="72"/>
      <c r="O547" s="1955" t="s">
        <v>345</v>
      </c>
      <c r="P547" s="1955"/>
      <c r="Q547" s="1955"/>
      <c r="R547" s="1955"/>
      <c r="S547" s="1955"/>
      <c r="T547" s="1955"/>
      <c r="U547" s="1955"/>
      <c r="V547" s="1955"/>
      <c r="W547" s="1955"/>
      <c r="X547" s="1955"/>
      <c r="Y547" s="1955"/>
      <c r="Z547" s="1955"/>
      <c r="AA547" s="1955"/>
      <c r="AC547" s="1965" t="s">
        <v>627</v>
      </c>
      <c r="AD547" s="1966"/>
      <c r="AE547" s="1966"/>
      <c r="AF547" s="1966"/>
      <c r="AG547" s="65" t="s">
        <v>426</v>
      </c>
      <c r="AH547" s="1949"/>
      <c r="AI547" s="1949"/>
      <c r="AJ547" s="1949"/>
      <c r="AK547" s="195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1970"/>
      <c r="C548" s="1971"/>
      <c r="D548" s="1971"/>
      <c r="E548" s="1971"/>
      <c r="F548" s="1971"/>
      <c r="G548" s="1971"/>
      <c r="H548" s="1972"/>
      <c r="I548" s="25" t="s">
        <v>444</v>
      </c>
      <c r="J548" s="25"/>
      <c r="K548" s="25"/>
      <c r="L548" s="25"/>
      <c r="M548" s="25"/>
      <c r="N548" s="25"/>
      <c r="O548" s="25"/>
      <c r="P548" s="25"/>
      <c r="Q548" s="25"/>
      <c r="R548" s="25"/>
      <c r="S548" s="25"/>
      <c r="T548" s="25"/>
      <c r="U548" s="25"/>
      <c r="V548" s="25"/>
      <c r="W548" s="25"/>
      <c r="X548" s="25"/>
      <c r="Y548" s="25"/>
      <c r="AC548" s="1965" t="s">
        <v>627</v>
      </c>
      <c r="AD548" s="1966"/>
      <c r="AE548" s="1966"/>
      <c r="AF548" s="1966"/>
      <c r="AG548" s="75" t="s">
        <v>426</v>
      </c>
      <c r="AH548" s="1949"/>
      <c r="AI548" s="1949"/>
      <c r="AJ548" s="1949"/>
      <c r="AK548" s="195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1970"/>
      <c r="C549" s="1971"/>
      <c r="D549" s="1971"/>
      <c r="E549" s="1971"/>
      <c r="F549" s="1971"/>
      <c r="G549" s="1971"/>
      <c r="H549" s="1972"/>
      <c r="I549" s="80" t="s">
        <v>445</v>
      </c>
      <c r="J549" s="80"/>
      <c r="K549" s="80"/>
      <c r="L549" s="80"/>
      <c r="M549" s="80"/>
      <c r="N549" s="80"/>
      <c r="O549" s="80"/>
      <c r="P549" s="80"/>
      <c r="Q549" s="80"/>
      <c r="R549" s="80"/>
      <c r="S549" s="80"/>
      <c r="T549" s="80"/>
      <c r="U549" s="80"/>
      <c r="V549" s="80"/>
      <c r="W549" s="80"/>
      <c r="X549" s="80"/>
      <c r="Y549" s="80"/>
      <c r="Z549" s="80"/>
      <c r="AA549" s="80"/>
      <c r="AB549" s="80"/>
      <c r="AC549" s="1965" t="s">
        <v>627</v>
      </c>
      <c r="AD549" s="1966"/>
      <c r="AE549" s="1966"/>
      <c r="AF549" s="1966"/>
      <c r="AG549" s="65" t="s">
        <v>426</v>
      </c>
      <c r="AH549" s="1949"/>
      <c r="AI549" s="1949"/>
      <c r="AJ549" s="1949"/>
      <c r="AK549" s="195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1970"/>
      <c r="C550" s="1971"/>
      <c r="D550" s="1971"/>
      <c r="E550" s="1971"/>
      <c r="F550" s="1971"/>
      <c r="G550" s="1971"/>
      <c r="H550" s="1972"/>
      <c r="I550" s="72" t="s">
        <v>596</v>
      </c>
      <c r="J550" s="72"/>
      <c r="K550" s="72"/>
      <c r="L550" s="72"/>
      <c r="M550" s="72"/>
      <c r="N550" s="72"/>
      <c r="O550" s="72"/>
      <c r="P550" s="72"/>
      <c r="Q550" s="72"/>
      <c r="R550" s="72"/>
      <c r="S550" s="72"/>
      <c r="T550" s="72"/>
      <c r="U550" s="72"/>
      <c r="V550" s="72"/>
      <c r="W550" s="72"/>
      <c r="X550" s="25"/>
      <c r="Y550" s="25"/>
      <c r="AC550" s="1965" t="s">
        <v>627</v>
      </c>
      <c r="AD550" s="1966"/>
      <c r="AE550" s="1966"/>
      <c r="AF550" s="1966"/>
      <c r="AG550" s="65" t="s">
        <v>426</v>
      </c>
      <c r="AH550" s="1949"/>
      <c r="AI550" s="1949"/>
      <c r="AJ550" s="1949"/>
      <c r="AK550" s="195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1970"/>
      <c r="C551" s="1971"/>
      <c r="D551" s="1971"/>
      <c r="E551" s="1971"/>
      <c r="F551" s="1971"/>
      <c r="G551" s="1971"/>
      <c r="H551" s="1972"/>
      <c r="I551" s="25" t="s">
        <v>597</v>
      </c>
      <c r="J551" s="25"/>
      <c r="K551" s="25"/>
      <c r="L551" s="25"/>
      <c r="M551" s="25"/>
      <c r="N551" s="25"/>
      <c r="O551" s="25"/>
      <c r="P551" s="25"/>
      <c r="Q551" s="25"/>
      <c r="R551" s="25"/>
      <c r="S551" s="25"/>
      <c r="T551" s="25"/>
      <c r="U551" s="25"/>
      <c r="V551" s="25"/>
      <c r="W551" s="25"/>
      <c r="X551" s="25"/>
      <c r="Y551" s="25"/>
      <c r="AC551" s="1965">
        <v>9</v>
      </c>
      <c r="AD551" s="1966"/>
      <c r="AE551" s="1966"/>
      <c r="AF551" s="1966"/>
      <c r="AG551" s="75" t="s">
        <v>426</v>
      </c>
      <c r="AH551" s="1949">
        <v>2021</v>
      </c>
      <c r="AI551" s="1949"/>
      <c r="AJ551" s="1949"/>
      <c r="AK551" s="195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1970"/>
      <c r="C552" s="1971"/>
      <c r="D552" s="1971"/>
      <c r="E552" s="1971"/>
      <c r="F552" s="1971"/>
      <c r="G552" s="1971"/>
      <c r="H552" s="1972"/>
      <c r="I552" s="25" t="s">
        <v>598</v>
      </c>
      <c r="J552" s="25"/>
      <c r="K552" s="25"/>
      <c r="L552" s="25"/>
      <c r="M552" s="25"/>
      <c r="N552" s="25"/>
      <c r="O552" s="25"/>
      <c r="P552" s="25"/>
      <c r="Q552" s="25"/>
      <c r="R552" s="25"/>
      <c r="S552" s="25"/>
      <c r="T552" s="25"/>
      <c r="U552" s="25"/>
      <c r="V552" s="25"/>
      <c r="W552" s="25"/>
      <c r="X552" s="25"/>
      <c r="Y552" s="25"/>
      <c r="AC552" s="1965">
        <v>3</v>
      </c>
      <c r="AD552" s="1966"/>
      <c r="AE552" s="1966"/>
      <c r="AF552" s="1966"/>
      <c r="AG552" s="65" t="s">
        <v>426</v>
      </c>
      <c r="AH552" s="1949">
        <v>2023</v>
      </c>
      <c r="AI552" s="1949"/>
      <c r="AJ552" s="1949"/>
      <c r="AK552" s="195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1970"/>
      <c r="C553" s="1971"/>
      <c r="D553" s="1971"/>
      <c r="E553" s="1971"/>
      <c r="F553" s="1971"/>
      <c r="G553" s="1971"/>
      <c r="H553" s="1972"/>
      <c r="I553" s="25" t="s">
        <v>599</v>
      </c>
      <c r="J553" s="25"/>
      <c r="K553" s="25"/>
      <c r="L553" s="25"/>
      <c r="M553" s="25"/>
      <c r="N553" s="25"/>
      <c r="O553" s="25"/>
      <c r="P553" s="25"/>
      <c r="Q553" s="25"/>
      <c r="R553" s="25"/>
      <c r="S553" s="25"/>
      <c r="T553" s="25"/>
      <c r="U553" s="25"/>
      <c r="V553" s="25"/>
      <c r="W553" s="25"/>
      <c r="X553" s="25"/>
      <c r="Y553" s="25"/>
      <c r="AC553" s="1965">
        <v>3</v>
      </c>
      <c r="AD553" s="1966"/>
      <c r="AE553" s="1966"/>
      <c r="AF553" s="1966"/>
      <c r="AG553" s="65" t="s">
        <v>426</v>
      </c>
      <c r="AH553" s="1949">
        <v>2023</v>
      </c>
      <c r="AI553" s="1949"/>
      <c r="AJ553" s="1949"/>
      <c r="AK553" s="195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1973"/>
      <c r="C554" s="1974"/>
      <c r="D554" s="1974"/>
      <c r="E554" s="1974"/>
      <c r="F554" s="1974"/>
      <c r="G554" s="1974"/>
      <c r="H554" s="1975"/>
      <c r="I554" s="80" t="s">
        <v>483</v>
      </c>
      <c r="J554" s="80"/>
      <c r="K554" s="80"/>
      <c r="L554" s="80"/>
      <c r="M554" s="80"/>
      <c r="N554" s="80"/>
      <c r="O554" s="80"/>
      <c r="P554" s="80"/>
      <c r="Q554" s="80"/>
      <c r="R554" s="80"/>
      <c r="S554" s="80"/>
      <c r="T554" s="80"/>
      <c r="U554" s="80"/>
      <c r="V554" s="80"/>
      <c r="W554" s="80"/>
      <c r="X554" s="80"/>
      <c r="Y554" s="80"/>
      <c r="Z554" s="80"/>
      <c r="AA554" s="80"/>
      <c r="AB554" s="80"/>
      <c r="AC554" s="1965">
        <v>6</v>
      </c>
      <c r="AD554" s="1966"/>
      <c r="AE554" s="1966"/>
      <c r="AF554" s="1966"/>
      <c r="AG554" s="65" t="s">
        <v>426</v>
      </c>
      <c r="AH554" s="1949">
        <v>2023</v>
      </c>
      <c r="AI554" s="1949"/>
      <c r="AJ554" s="1949"/>
      <c r="AK554" s="195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577</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1956" t="s">
        <v>485</v>
      </c>
      <c r="C563" s="2107"/>
      <c r="D563" s="2107"/>
      <c r="E563" s="2107"/>
      <c r="F563" s="2107"/>
      <c r="G563" s="2107"/>
      <c r="H563" s="2107"/>
      <c r="I563" s="2107"/>
      <c r="J563" s="2107"/>
      <c r="K563" s="2107"/>
      <c r="L563" s="2107"/>
      <c r="M563" s="2107"/>
      <c r="N563" s="2107"/>
      <c r="O563" s="2107"/>
      <c r="P563" s="2108"/>
      <c r="Q563" s="1956" t="s">
        <v>2442</v>
      </c>
      <c r="R563" s="1957"/>
      <c r="S563" s="1958"/>
      <c r="T563" s="1956" t="s">
        <v>2440</v>
      </c>
      <c r="U563" s="1957"/>
      <c r="V563" s="1958"/>
      <c r="W563" s="1956" t="s">
        <v>486</v>
      </c>
      <c r="X563" s="1957"/>
      <c r="Y563" s="1958"/>
      <c r="Z563" s="1956" t="s">
        <v>2441</v>
      </c>
      <c r="AA563" s="1957"/>
      <c r="AB563" s="1957"/>
      <c r="AC563" s="1957"/>
      <c r="AD563" s="1957"/>
      <c r="AE563" s="1956" t="s">
        <v>2163</v>
      </c>
      <c r="AF563" s="1957"/>
      <c r="AG563" s="1957"/>
      <c r="AH563" s="1958"/>
      <c r="AI563" s="1956" t="s">
        <v>2164</v>
      </c>
      <c r="AJ563" s="1957"/>
      <c r="AK563" s="1957"/>
      <c r="AL563" s="1958"/>
      <c r="AM563" s="1956" t="s">
        <v>487</v>
      </c>
      <c r="AN563" s="1957"/>
      <c r="AO563" s="1957"/>
      <c r="AP563" s="1957"/>
      <c r="AQ563" s="1957"/>
      <c r="AR563" s="1957"/>
      <c r="AS563" s="1958"/>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1959" t="s">
        <v>2513</v>
      </c>
      <c r="D564" s="1959"/>
      <c r="E564" s="1959"/>
      <c r="F564" s="1959"/>
      <c r="G564" s="1959"/>
      <c r="H564" s="1959"/>
      <c r="I564" s="1959"/>
      <c r="J564" s="1959"/>
      <c r="K564" s="1959"/>
      <c r="L564" s="1959"/>
      <c r="M564" s="1959"/>
      <c r="N564" s="1959"/>
      <c r="O564" s="1959"/>
      <c r="P564" s="2076"/>
      <c r="Q564" s="1944">
        <v>216</v>
      </c>
      <c r="R564" s="1944"/>
      <c r="S564" s="1945"/>
      <c r="T564" s="1943">
        <v>420</v>
      </c>
      <c r="U564" s="1944"/>
      <c r="V564" s="1945"/>
      <c r="W564" s="1946">
        <v>3.5000000000000003E-2</v>
      </c>
      <c r="X564" s="1947"/>
      <c r="Y564" s="1948"/>
      <c r="Z564" s="2071" t="s">
        <v>2494</v>
      </c>
      <c r="AA564" s="2071"/>
      <c r="AB564" s="2071"/>
      <c r="AC564" s="2071"/>
      <c r="AD564" s="2071"/>
      <c r="AE564" s="2068">
        <v>1</v>
      </c>
      <c r="AF564" s="2069"/>
      <c r="AG564" s="2069"/>
      <c r="AH564" s="2070"/>
      <c r="AI564" s="2065"/>
      <c r="AJ564" s="2066"/>
      <c r="AK564" s="2066"/>
      <c r="AL564" s="2067"/>
      <c r="AM564" s="1951">
        <v>33421801</v>
      </c>
      <c r="AN564" s="1952"/>
      <c r="AO564" s="1952"/>
      <c r="AP564" s="1952"/>
      <c r="AQ564" s="1952"/>
      <c r="AR564" s="1952"/>
      <c r="AS564" s="1953"/>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59" t="s">
        <v>2521</v>
      </c>
      <c r="D565" s="1959"/>
      <c r="E565" s="1959"/>
      <c r="F565" s="1959"/>
      <c r="G565" s="1959"/>
      <c r="H565" s="1959"/>
      <c r="I565" s="1959"/>
      <c r="J565" s="1959"/>
      <c r="K565" s="1959"/>
      <c r="L565" s="1959"/>
      <c r="M565" s="1959"/>
      <c r="N565" s="1959"/>
      <c r="O565" s="1959"/>
      <c r="P565" s="2076"/>
      <c r="Q565" s="2074">
        <v>216</v>
      </c>
      <c r="R565" s="1944"/>
      <c r="S565" s="1945"/>
      <c r="T565" s="1943">
        <v>420</v>
      </c>
      <c r="U565" s="1944"/>
      <c r="V565" s="1945"/>
      <c r="W565" s="1946">
        <v>3.5000000000000003E-2</v>
      </c>
      <c r="X565" s="1947"/>
      <c r="Y565" s="1948"/>
      <c r="Z565" s="2071" t="s">
        <v>2494</v>
      </c>
      <c r="AA565" s="2071"/>
      <c r="AB565" s="2071"/>
      <c r="AC565" s="2071"/>
      <c r="AD565" s="2071"/>
      <c r="AE565" s="2068">
        <v>1</v>
      </c>
      <c r="AF565" s="2069"/>
      <c r="AG565" s="2069"/>
      <c r="AH565" s="2070"/>
      <c r="AI565" s="2065"/>
      <c r="AJ565" s="2066"/>
      <c r="AK565" s="2066"/>
      <c r="AL565" s="2067"/>
      <c r="AM565" s="1951">
        <v>3200000</v>
      </c>
      <c r="AN565" s="1952"/>
      <c r="AO565" s="1952"/>
      <c r="AP565" s="1952"/>
      <c r="AQ565" s="1952"/>
      <c r="AR565" s="1952"/>
      <c r="AS565" s="195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1959" t="s">
        <v>2514</v>
      </c>
      <c r="D566" s="1959"/>
      <c r="E566" s="1959"/>
      <c r="F566" s="1959"/>
      <c r="G566" s="1959"/>
      <c r="H566" s="1959"/>
      <c r="I566" s="1959"/>
      <c r="J566" s="1959"/>
      <c r="K566" s="1959"/>
      <c r="L566" s="1959"/>
      <c r="M566" s="1959"/>
      <c r="N566" s="1959"/>
      <c r="O566" s="1959"/>
      <c r="P566" s="2076"/>
      <c r="Q566" s="2074">
        <v>216</v>
      </c>
      <c r="R566" s="2121"/>
      <c r="S566" s="2122"/>
      <c r="T566" s="1943">
        <v>420</v>
      </c>
      <c r="U566" s="1944"/>
      <c r="V566" s="1945"/>
      <c r="W566" s="1946">
        <v>3.5000000000000003E-2</v>
      </c>
      <c r="X566" s="1947"/>
      <c r="Y566" s="1948"/>
      <c r="Z566" s="2071" t="s">
        <v>1387</v>
      </c>
      <c r="AA566" s="2071"/>
      <c r="AB566" s="2071"/>
      <c r="AC566" s="2071"/>
      <c r="AD566" s="2071"/>
      <c r="AE566" s="2068">
        <v>1</v>
      </c>
      <c r="AF566" s="2069"/>
      <c r="AG566" s="2069"/>
      <c r="AH566" s="2070"/>
      <c r="AI566" s="2065"/>
      <c r="AJ566" s="2066"/>
      <c r="AK566" s="2066"/>
      <c r="AL566" s="2067"/>
      <c r="AM566" s="1951">
        <f>19000000-AM565</f>
        <v>15800000</v>
      </c>
      <c r="AN566" s="1952"/>
      <c r="AO566" s="1952"/>
      <c r="AP566" s="1952"/>
      <c r="AQ566" s="1952"/>
      <c r="AR566" s="1952"/>
      <c r="AS566" s="195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617</v>
      </c>
      <c r="C567" s="1959" t="s">
        <v>2493</v>
      </c>
      <c r="D567" s="1959"/>
      <c r="E567" s="1959"/>
      <c r="F567" s="1959"/>
      <c r="G567" s="1959"/>
      <c r="H567" s="1959"/>
      <c r="I567" s="1959"/>
      <c r="J567" s="1959"/>
      <c r="K567" s="1959"/>
      <c r="L567" s="1959"/>
      <c r="M567" s="1959"/>
      <c r="N567" s="1959"/>
      <c r="O567" s="1959"/>
      <c r="P567" s="2076"/>
      <c r="Q567" s="2074" t="s">
        <v>627</v>
      </c>
      <c r="R567" s="1944"/>
      <c r="S567" s="1945"/>
      <c r="T567" s="1943"/>
      <c r="U567" s="1944"/>
      <c r="V567" s="1945"/>
      <c r="W567" s="1946" t="s">
        <v>627</v>
      </c>
      <c r="X567" s="1947"/>
      <c r="Y567" s="1948"/>
      <c r="Z567" s="2071" t="s">
        <v>1387</v>
      </c>
      <c r="AA567" s="2071"/>
      <c r="AB567" s="2071"/>
      <c r="AC567" s="2071"/>
      <c r="AD567" s="2071"/>
      <c r="AE567" s="2068"/>
      <c r="AF567" s="2069"/>
      <c r="AG567" s="2069"/>
      <c r="AH567" s="2070"/>
      <c r="AI567" s="2065"/>
      <c r="AJ567" s="2066"/>
      <c r="AK567" s="2066"/>
      <c r="AL567" s="2067"/>
      <c r="AM567" s="1951">
        <v>3338715</v>
      </c>
      <c r="AN567" s="1952"/>
      <c r="AO567" s="1952"/>
      <c r="AP567" s="1952"/>
      <c r="AQ567" s="1952"/>
      <c r="AR567" s="1952"/>
      <c r="AS567" s="195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824</v>
      </c>
      <c r="C568" s="1959" t="s">
        <v>2519</v>
      </c>
      <c r="D568" s="1959"/>
      <c r="E568" s="1959"/>
      <c r="F568" s="1959"/>
      <c r="G568" s="1959"/>
      <c r="H568" s="1959"/>
      <c r="I568" s="1959"/>
      <c r="J568" s="1959"/>
      <c r="K568" s="1959"/>
      <c r="L568" s="1959"/>
      <c r="M568" s="1959"/>
      <c r="N568" s="1959"/>
      <c r="O568" s="1959"/>
      <c r="P568" s="2076"/>
      <c r="Q568" s="2074" t="s">
        <v>627</v>
      </c>
      <c r="R568" s="1944"/>
      <c r="S568" s="1945"/>
      <c r="T568" s="1943"/>
      <c r="U568" s="1944"/>
      <c r="V568" s="1945"/>
      <c r="W568" s="1946" t="s">
        <v>627</v>
      </c>
      <c r="X568" s="1947"/>
      <c r="Y568" s="1948"/>
      <c r="Z568" s="2071" t="s">
        <v>1387</v>
      </c>
      <c r="AA568" s="2071"/>
      <c r="AB568" s="2071"/>
      <c r="AC568" s="2071"/>
      <c r="AD568" s="2071"/>
      <c r="AE568" s="2068"/>
      <c r="AF568" s="2069"/>
      <c r="AG568" s="2069"/>
      <c r="AH568" s="2070"/>
      <c r="AI568" s="2065"/>
      <c r="AJ568" s="2066"/>
      <c r="AK568" s="2066"/>
      <c r="AL568" s="2067"/>
      <c r="AM568" s="1951">
        <v>899395</v>
      </c>
      <c r="AN568" s="1952"/>
      <c r="AO568" s="1952"/>
      <c r="AP568" s="1952"/>
      <c r="AQ568" s="1952"/>
      <c r="AR568" s="1952"/>
      <c r="AS568" s="195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620</v>
      </c>
      <c r="C569" s="1959" t="s">
        <v>2522</v>
      </c>
      <c r="D569" s="1959"/>
      <c r="E569" s="1959"/>
      <c r="F569" s="1959"/>
      <c r="G569" s="1959"/>
      <c r="H569" s="1959"/>
      <c r="I569" s="1959"/>
      <c r="J569" s="1959"/>
      <c r="K569" s="1959"/>
      <c r="L569" s="1959"/>
      <c r="M569" s="1959"/>
      <c r="N569" s="1959"/>
      <c r="O569" s="1959"/>
      <c r="P569" s="2076"/>
      <c r="Q569" s="2074" t="s">
        <v>627</v>
      </c>
      <c r="R569" s="1944"/>
      <c r="S569" s="1945"/>
      <c r="T569" s="1943"/>
      <c r="U569" s="1944"/>
      <c r="V569" s="1945"/>
      <c r="W569" s="1946" t="s">
        <v>627</v>
      </c>
      <c r="X569" s="1947"/>
      <c r="Y569" s="1948"/>
      <c r="Z569" s="2071" t="s">
        <v>1387</v>
      </c>
      <c r="AA569" s="2071"/>
      <c r="AB569" s="2071"/>
      <c r="AC569" s="2071"/>
      <c r="AD569" s="2071"/>
      <c r="AE569" s="2068"/>
      <c r="AF569" s="2069"/>
      <c r="AG569" s="2069"/>
      <c r="AH569" s="2070"/>
      <c r="AI569" s="2065"/>
      <c r="AJ569" s="2066"/>
      <c r="AK569" s="2066"/>
      <c r="AL569" s="2067"/>
      <c r="AM569" s="1951">
        <f>AO651-SUM(AM564:AS568)</f>
        <v>7236710.3333333358</v>
      </c>
      <c r="AN569" s="1952"/>
      <c r="AO569" s="1952"/>
      <c r="AP569" s="1952"/>
      <c r="AQ569" s="1952"/>
      <c r="AR569" s="1952"/>
      <c r="AS569" s="195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488</v>
      </c>
      <c r="C570" s="1959"/>
      <c r="D570" s="1959"/>
      <c r="E570" s="1959"/>
      <c r="F570" s="1959"/>
      <c r="G570" s="1959"/>
      <c r="H570" s="1959"/>
      <c r="I570" s="1959"/>
      <c r="J570" s="1959"/>
      <c r="K570" s="1959"/>
      <c r="L570" s="1959"/>
      <c r="M570" s="1959"/>
      <c r="N570" s="1959"/>
      <c r="O570" s="1959"/>
      <c r="P570" s="2076"/>
      <c r="Q570" s="1943"/>
      <c r="R570" s="1944"/>
      <c r="S570" s="1945"/>
      <c r="T570" s="1943"/>
      <c r="U570" s="1944"/>
      <c r="V570" s="1945"/>
      <c r="W570" s="1946"/>
      <c r="X570" s="1947"/>
      <c r="Y570" s="1948"/>
      <c r="Z570" s="2071" t="s">
        <v>1387</v>
      </c>
      <c r="AA570" s="2071"/>
      <c r="AB570" s="2071"/>
      <c r="AC570" s="2071"/>
      <c r="AD570" s="2071"/>
      <c r="AE570" s="2068"/>
      <c r="AF570" s="2069"/>
      <c r="AG570" s="2069"/>
      <c r="AH570" s="2070"/>
      <c r="AI570" s="2065"/>
      <c r="AJ570" s="2066"/>
      <c r="AK570" s="2066"/>
      <c r="AL570" s="2067"/>
      <c r="AM570" s="1951"/>
      <c r="AN570" s="1952"/>
      <c r="AO570" s="1952"/>
      <c r="AP570" s="1952"/>
      <c r="AQ570" s="1952"/>
      <c r="AR570" s="1952"/>
      <c r="AS570" s="195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489</v>
      </c>
      <c r="C571" s="1959"/>
      <c r="D571" s="1959"/>
      <c r="E571" s="1959"/>
      <c r="F571" s="1959"/>
      <c r="G571" s="1959"/>
      <c r="H571" s="1959"/>
      <c r="I571" s="1959"/>
      <c r="J571" s="1959"/>
      <c r="K571" s="1959"/>
      <c r="L571" s="1959"/>
      <c r="M571" s="1959"/>
      <c r="N571" s="1959"/>
      <c r="O571" s="1959"/>
      <c r="P571" s="2076"/>
      <c r="Q571" s="1943"/>
      <c r="R571" s="1944"/>
      <c r="S571" s="1945"/>
      <c r="T571" s="1943"/>
      <c r="U571" s="1944"/>
      <c r="V571" s="1945"/>
      <c r="W571" s="1946"/>
      <c r="X571" s="1947"/>
      <c r="Y571" s="1948"/>
      <c r="Z571" s="2071" t="s">
        <v>1387</v>
      </c>
      <c r="AA571" s="2071"/>
      <c r="AB571" s="2071"/>
      <c r="AC571" s="2071"/>
      <c r="AD571" s="2071"/>
      <c r="AE571" s="2068"/>
      <c r="AF571" s="2069"/>
      <c r="AG571" s="2069"/>
      <c r="AH571" s="2070"/>
      <c r="AI571" s="2065"/>
      <c r="AJ571" s="2066"/>
      <c r="AK571" s="2066"/>
      <c r="AL571" s="2067"/>
      <c r="AM571" s="1951"/>
      <c r="AN571" s="1952"/>
      <c r="AO571" s="1952"/>
      <c r="AP571" s="1952"/>
      <c r="AQ571" s="1952"/>
      <c r="AR571" s="1952"/>
      <c r="AS571" s="1953"/>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495</v>
      </c>
      <c r="C572" s="1959"/>
      <c r="D572" s="1959"/>
      <c r="E572" s="1959"/>
      <c r="F572" s="1959"/>
      <c r="G572" s="1959"/>
      <c r="H572" s="1959"/>
      <c r="I572" s="1959"/>
      <c r="J572" s="1959"/>
      <c r="K572" s="1959"/>
      <c r="L572" s="1959"/>
      <c r="M572" s="1959"/>
      <c r="N572" s="1959"/>
      <c r="O572" s="1959"/>
      <c r="P572" s="2076"/>
      <c r="Q572" s="1943"/>
      <c r="R572" s="1944"/>
      <c r="S572" s="1945"/>
      <c r="T572" s="1943"/>
      <c r="U572" s="1944"/>
      <c r="V572" s="1945"/>
      <c r="W572" s="1946"/>
      <c r="X572" s="1947"/>
      <c r="Y572" s="1948"/>
      <c r="Z572" s="2071" t="s">
        <v>1387</v>
      </c>
      <c r="AA572" s="2071"/>
      <c r="AB572" s="2071"/>
      <c r="AC572" s="2071"/>
      <c r="AD572" s="2071"/>
      <c r="AE572" s="2068"/>
      <c r="AF572" s="2069"/>
      <c r="AG572" s="2069"/>
      <c r="AH572" s="2070"/>
      <c r="AI572" s="2065"/>
      <c r="AJ572" s="2066"/>
      <c r="AK572" s="2066"/>
      <c r="AL572" s="2067"/>
      <c r="AM572" s="1951"/>
      <c r="AN572" s="1952"/>
      <c r="AO572" s="1952"/>
      <c r="AP572" s="1952"/>
      <c r="AQ572" s="1952"/>
      <c r="AR572" s="1952"/>
      <c r="AS572" s="1953"/>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1959"/>
      <c r="D573" s="1959"/>
      <c r="E573" s="1959"/>
      <c r="F573" s="1959"/>
      <c r="G573" s="1959"/>
      <c r="H573" s="1959"/>
      <c r="I573" s="1959"/>
      <c r="J573" s="1959"/>
      <c r="K573" s="1959"/>
      <c r="L573" s="1959"/>
      <c r="M573" s="1959"/>
      <c r="N573" s="1959"/>
      <c r="O573" s="1959"/>
      <c r="P573" s="2076"/>
      <c r="Q573" s="1943"/>
      <c r="R573" s="1944"/>
      <c r="S573" s="1945"/>
      <c r="T573" s="1943"/>
      <c r="U573" s="1944"/>
      <c r="V573" s="1945"/>
      <c r="W573" s="1946"/>
      <c r="X573" s="1947"/>
      <c r="Y573" s="1948"/>
      <c r="Z573" s="2071" t="s">
        <v>1387</v>
      </c>
      <c r="AA573" s="2071"/>
      <c r="AB573" s="2071"/>
      <c r="AC573" s="2071"/>
      <c r="AD573" s="2071"/>
      <c r="AE573" s="2068"/>
      <c r="AF573" s="2069"/>
      <c r="AG573" s="2069"/>
      <c r="AH573" s="2070"/>
      <c r="AI573" s="2065"/>
      <c r="AJ573" s="2066"/>
      <c r="AK573" s="2066"/>
      <c r="AL573" s="2067"/>
      <c r="AM573" s="1951"/>
      <c r="AN573" s="1952"/>
      <c r="AO573" s="1952"/>
      <c r="AP573" s="1952"/>
      <c r="AQ573" s="1952"/>
      <c r="AR573" s="1952"/>
      <c r="AS573" s="195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1959"/>
      <c r="D574" s="1959"/>
      <c r="E574" s="1959"/>
      <c r="F574" s="1959"/>
      <c r="G574" s="1959"/>
      <c r="H574" s="1959"/>
      <c r="I574" s="1959"/>
      <c r="J574" s="1959"/>
      <c r="K574" s="1959"/>
      <c r="L574" s="1959"/>
      <c r="M574" s="1959"/>
      <c r="N574" s="1959"/>
      <c r="O574" s="1959"/>
      <c r="P574" s="2076"/>
      <c r="Q574" s="1943"/>
      <c r="R574" s="1944"/>
      <c r="S574" s="1945"/>
      <c r="T574" s="1943"/>
      <c r="U574" s="1944"/>
      <c r="V574" s="1945"/>
      <c r="W574" s="1946"/>
      <c r="X574" s="1947"/>
      <c r="Y574" s="1948"/>
      <c r="Z574" s="2071" t="s">
        <v>1387</v>
      </c>
      <c r="AA574" s="2071"/>
      <c r="AB574" s="2071"/>
      <c r="AC574" s="2071"/>
      <c r="AD574" s="2071"/>
      <c r="AE574" s="2068"/>
      <c r="AF574" s="2069"/>
      <c r="AG574" s="2069"/>
      <c r="AH574" s="2070"/>
      <c r="AI574" s="2065"/>
      <c r="AJ574" s="2066"/>
      <c r="AK574" s="2066"/>
      <c r="AL574" s="2067"/>
      <c r="AM574" s="1951"/>
      <c r="AN574" s="1952"/>
      <c r="AO574" s="1952"/>
      <c r="AP574" s="1952"/>
      <c r="AQ574" s="1952"/>
      <c r="AR574" s="1952"/>
      <c r="AS574" s="195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1959"/>
      <c r="D575" s="1959"/>
      <c r="E575" s="1959"/>
      <c r="F575" s="1959"/>
      <c r="G575" s="1959"/>
      <c r="H575" s="1959"/>
      <c r="I575" s="1959"/>
      <c r="J575" s="1959"/>
      <c r="K575" s="1959"/>
      <c r="L575" s="1959"/>
      <c r="M575" s="1959"/>
      <c r="N575" s="1959"/>
      <c r="O575" s="1959"/>
      <c r="P575" s="2076"/>
      <c r="Q575" s="1943"/>
      <c r="R575" s="1944"/>
      <c r="S575" s="1945"/>
      <c r="T575" s="1943"/>
      <c r="U575" s="1944"/>
      <c r="V575" s="1945"/>
      <c r="W575" s="1946"/>
      <c r="X575" s="1947"/>
      <c r="Y575" s="1948"/>
      <c r="Z575" s="2071" t="s">
        <v>1387</v>
      </c>
      <c r="AA575" s="2071"/>
      <c r="AB575" s="2071"/>
      <c r="AC575" s="2071"/>
      <c r="AD575" s="2071"/>
      <c r="AE575" s="2068"/>
      <c r="AF575" s="2069"/>
      <c r="AG575" s="2069"/>
      <c r="AH575" s="2070"/>
      <c r="AI575" s="2065"/>
      <c r="AJ575" s="2066"/>
      <c r="AK575" s="2066"/>
      <c r="AL575" s="2067"/>
      <c r="AM575" s="1951"/>
      <c r="AN575" s="1952"/>
      <c r="AO575" s="1952"/>
      <c r="AP575" s="1952"/>
      <c r="AQ575" s="1952"/>
      <c r="AR575" s="1952"/>
      <c r="AS575" s="195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09" t="s">
        <v>132</v>
      </c>
      <c r="C576" s="2110"/>
      <c r="D576" s="2110"/>
      <c r="E576" s="2110"/>
      <c r="F576" s="2110"/>
      <c r="G576" s="2110"/>
      <c r="H576" s="2110"/>
      <c r="I576" s="2110"/>
      <c r="J576" s="2110"/>
      <c r="K576" s="2110"/>
      <c r="L576" s="2110"/>
      <c r="M576" s="2110"/>
      <c r="N576" s="2110"/>
      <c r="O576" s="2110"/>
      <c r="P576" s="2110"/>
      <c r="Q576" s="2110"/>
      <c r="R576" s="2110"/>
      <c r="S576" s="2110"/>
      <c r="T576" s="2110"/>
      <c r="U576" s="2111"/>
      <c r="V576" s="2110"/>
      <c r="W576" s="2110"/>
      <c r="X576" s="2110"/>
      <c r="Y576" s="2110"/>
      <c r="Z576" s="2110"/>
      <c r="AA576" s="2110"/>
      <c r="AB576" s="2110"/>
      <c r="AC576" s="2110"/>
      <c r="AD576" s="2110"/>
      <c r="AE576" s="2110"/>
      <c r="AF576" s="2110"/>
      <c r="AG576" s="2110"/>
      <c r="AH576" s="2110"/>
      <c r="AI576" s="2110"/>
      <c r="AJ576" s="2110"/>
      <c r="AK576" s="2110"/>
      <c r="AL576" s="2112"/>
      <c r="AM576" s="2059">
        <f>SUM(AM564:AS575)</f>
        <v>63896621.333333336</v>
      </c>
      <c r="AN576" s="2060"/>
      <c r="AO576" s="2060"/>
      <c r="AP576" s="2060"/>
      <c r="AQ576" s="2060"/>
      <c r="AR576" s="2060"/>
      <c r="AS576" s="206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497</v>
      </c>
      <c r="G578" s="2072" t="str">
        <f>C564</f>
        <v>Citibank Construction Loan(Tax Exempt)</v>
      </c>
      <c r="H578" s="2072"/>
      <c r="I578" s="2072"/>
      <c r="J578" s="2072"/>
      <c r="K578" s="2072"/>
      <c r="L578" s="2072"/>
      <c r="M578" s="2072"/>
      <c r="N578" s="2072"/>
      <c r="O578" s="2072"/>
      <c r="P578" s="2072"/>
      <c r="Q578" s="2072"/>
      <c r="R578" s="2072"/>
      <c r="S578" s="14"/>
      <c r="T578" s="87" t="s">
        <v>118</v>
      </c>
      <c r="U578" s="12" t="s">
        <v>497</v>
      </c>
      <c r="Z578" s="2072" t="str">
        <f>C565</f>
        <v>Citibank Construction Loan(Recycled)</v>
      </c>
      <c r="AA578" s="2072"/>
      <c r="AB578" s="2072"/>
      <c r="AC578" s="2072"/>
      <c r="AD578" s="2072"/>
      <c r="AE578" s="2072"/>
      <c r="AF578" s="2072"/>
      <c r="AG578" s="2072"/>
      <c r="AH578" s="2072"/>
      <c r="AI578" s="2072"/>
      <c r="AJ578" s="2072"/>
      <c r="AK578" s="207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1955" t="s">
        <v>2495</v>
      </c>
      <c r="H579" s="1955"/>
      <c r="I579" s="1955"/>
      <c r="J579" s="1955"/>
      <c r="K579" s="1955"/>
      <c r="L579" s="1955"/>
      <c r="M579" s="1955"/>
      <c r="N579" s="1955"/>
      <c r="O579" s="1955"/>
      <c r="P579" s="1955"/>
      <c r="Q579" s="1955"/>
      <c r="R579" s="1955"/>
      <c r="S579" s="14"/>
      <c r="T579" s="35"/>
      <c r="U579" s="12" t="s">
        <v>90</v>
      </c>
      <c r="Z579" s="1955" t="s">
        <v>2495</v>
      </c>
      <c r="AA579" s="1955"/>
      <c r="AB579" s="1955"/>
      <c r="AC579" s="1955"/>
      <c r="AD579" s="1955"/>
      <c r="AE579" s="1955"/>
      <c r="AF579" s="1955"/>
      <c r="AG579" s="1955"/>
      <c r="AH579" s="1955"/>
      <c r="AI579" s="1955"/>
      <c r="AJ579" s="1955"/>
      <c r="AK579" s="1955"/>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616</v>
      </c>
      <c r="G580" s="1955" t="s">
        <v>528</v>
      </c>
      <c r="H580" s="1955"/>
      <c r="I580" s="1955"/>
      <c r="J580" s="1955"/>
      <c r="K580" s="1955"/>
      <c r="L580" s="1955"/>
      <c r="M580" s="1955"/>
      <c r="N580" s="1955"/>
      <c r="O580" s="1955"/>
      <c r="P580" s="1955"/>
      <c r="Q580" s="1955"/>
      <c r="R580" s="1955"/>
      <c r="S580" s="88"/>
      <c r="T580" s="35"/>
      <c r="U580" s="12" t="s">
        <v>616</v>
      </c>
      <c r="Z580" s="1955" t="s">
        <v>528</v>
      </c>
      <c r="AA580" s="1955"/>
      <c r="AB580" s="1955"/>
      <c r="AC580" s="1955"/>
      <c r="AD580" s="1955"/>
      <c r="AE580" s="1955"/>
      <c r="AF580" s="1955"/>
      <c r="AG580" s="1955"/>
      <c r="AH580" s="1955"/>
      <c r="AI580" s="1955"/>
      <c r="AJ580" s="1955"/>
      <c r="AK580" s="1955"/>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55" t="s">
        <v>2496</v>
      </c>
      <c r="H581" s="1955"/>
      <c r="I581" s="1955"/>
      <c r="J581" s="1955"/>
      <c r="K581" s="1955"/>
      <c r="L581" s="1955"/>
      <c r="M581" s="1955"/>
      <c r="N581" s="1955"/>
      <c r="O581" s="1955"/>
      <c r="P581" s="1955"/>
      <c r="Q581" s="1955"/>
      <c r="R581" s="1955"/>
      <c r="S581" s="14"/>
      <c r="T581" s="35"/>
      <c r="U581" s="12" t="s">
        <v>17</v>
      </c>
      <c r="Z581" s="1955" t="s">
        <v>2496</v>
      </c>
      <c r="AA581" s="1955"/>
      <c r="AB581" s="1955"/>
      <c r="AC581" s="1955"/>
      <c r="AD581" s="1955"/>
      <c r="AE581" s="1955"/>
      <c r="AF581" s="1955"/>
      <c r="AG581" s="1955"/>
      <c r="AH581" s="1955"/>
      <c r="AI581" s="1955"/>
      <c r="AJ581" s="1955"/>
      <c r="AK581" s="195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1954" t="s">
        <v>2497</v>
      </c>
      <c r="H582" s="1954"/>
      <c r="I582" s="1954"/>
      <c r="J582" s="1954"/>
      <c r="K582" s="1954"/>
      <c r="L582" s="1954"/>
      <c r="O582" s="137" t="s">
        <v>212</v>
      </c>
      <c r="P582" s="2027"/>
      <c r="Q582" s="2027"/>
      <c r="R582" s="2027"/>
      <c r="S582" s="16"/>
      <c r="T582" s="35"/>
      <c r="U582" s="12" t="s">
        <v>327</v>
      </c>
      <c r="Z582" s="1954" t="s">
        <v>2497</v>
      </c>
      <c r="AA582" s="1954"/>
      <c r="AB582" s="1954"/>
      <c r="AC582" s="1954"/>
      <c r="AD582" s="1954"/>
      <c r="AE582" s="1954"/>
      <c r="AH582" s="137" t="s">
        <v>212</v>
      </c>
      <c r="AI582" s="2027"/>
      <c r="AJ582" s="2027"/>
      <c r="AK582" s="202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3" t="s">
        <v>2498</v>
      </c>
      <c r="I583" s="1955"/>
      <c r="J583" s="1955"/>
      <c r="K583" s="1955"/>
      <c r="L583" s="1955"/>
      <c r="M583" s="1955"/>
      <c r="N583" s="1955"/>
      <c r="O583" s="1955"/>
      <c r="P583" s="1955"/>
      <c r="Q583" s="1955"/>
      <c r="R583" s="1955"/>
      <c r="S583" s="14"/>
      <c r="T583" s="35"/>
      <c r="U583" s="12" t="s">
        <v>18</v>
      </c>
      <c r="AA583" s="2073" t="s">
        <v>2500</v>
      </c>
      <c r="AB583" s="1955"/>
      <c r="AC583" s="1955"/>
      <c r="AD583" s="1955"/>
      <c r="AE583" s="1955"/>
      <c r="AF583" s="1955"/>
      <c r="AG583" s="1955"/>
      <c r="AH583" s="1955"/>
      <c r="AI583" s="1955"/>
      <c r="AJ583" s="1955"/>
      <c r="AK583" s="195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075"/>
      <c r="N584" s="2075"/>
      <c r="O584" s="2075"/>
      <c r="P584" s="2075"/>
      <c r="Q584" s="2075"/>
      <c r="R584" s="2075"/>
      <c r="S584" s="14"/>
      <c r="T584" s="35"/>
      <c r="U584" s="510" t="s">
        <v>1388</v>
      </c>
      <c r="V584" s="720"/>
      <c r="W584" s="720"/>
      <c r="X584" s="720"/>
      <c r="Y584" s="720"/>
      <c r="Z584" s="720"/>
      <c r="AA584" s="14"/>
      <c r="AB584" s="14"/>
      <c r="AC584" s="14"/>
      <c r="AD584" s="14"/>
      <c r="AE584" s="14"/>
      <c r="AF584" s="2075"/>
      <c r="AG584" s="2075"/>
      <c r="AH584" s="2075"/>
      <c r="AI584" s="2075"/>
      <c r="AJ584" s="2075"/>
      <c r="AK584" s="207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61" t="s">
        <v>579</v>
      </c>
      <c r="O585" s="1961"/>
      <c r="T585" s="35"/>
      <c r="U585" s="12" t="s">
        <v>20</v>
      </c>
      <c r="AG585" s="1961" t="s">
        <v>579</v>
      </c>
      <c r="AH585" s="196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72" t="str">
        <f>C566</f>
        <v>Citibank Construction Loan(Taxable)</v>
      </c>
      <c r="H587" s="2072"/>
      <c r="I587" s="2072"/>
      <c r="J587" s="2072"/>
      <c r="K587" s="2072"/>
      <c r="L587" s="2072"/>
      <c r="M587" s="2072"/>
      <c r="N587" s="2072"/>
      <c r="O587" s="2072"/>
      <c r="P587" s="2072"/>
      <c r="Q587" s="2072"/>
      <c r="R587" s="2072"/>
      <c r="T587" s="87" t="s">
        <v>617</v>
      </c>
      <c r="U587" s="12" t="s">
        <v>497</v>
      </c>
      <c r="Z587" s="2072" t="str">
        <f>C567</f>
        <v>Federal LIHTC Equity</v>
      </c>
      <c r="AA587" s="2072"/>
      <c r="AB587" s="2072"/>
      <c r="AC587" s="2072"/>
      <c r="AD587" s="2072"/>
      <c r="AE587" s="2072"/>
      <c r="AF587" s="2072"/>
      <c r="AG587" s="2072"/>
      <c r="AH587" s="2072"/>
      <c r="AI587" s="2072"/>
      <c r="AJ587" s="2072"/>
      <c r="AK587" s="207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55" t="s">
        <v>2495</v>
      </c>
      <c r="H588" s="1955"/>
      <c r="I588" s="1955"/>
      <c r="J588" s="1955"/>
      <c r="K588" s="1955"/>
      <c r="L588" s="1955"/>
      <c r="M588" s="1955"/>
      <c r="N588" s="1955"/>
      <c r="O588" s="1955"/>
      <c r="P588" s="1955"/>
      <c r="Q588" s="1955"/>
      <c r="R588" s="1955"/>
      <c r="T588" s="35"/>
      <c r="U588" s="12" t="s">
        <v>90</v>
      </c>
      <c r="Z588" s="2073" t="s">
        <v>2582</v>
      </c>
      <c r="AA588" s="1955"/>
      <c r="AB588" s="1955"/>
      <c r="AC588" s="1955"/>
      <c r="AD588" s="1955"/>
      <c r="AE588" s="1955"/>
      <c r="AF588" s="1955"/>
      <c r="AG588" s="1955"/>
      <c r="AH588" s="1955"/>
      <c r="AI588" s="1955"/>
      <c r="AJ588" s="1955"/>
      <c r="AK588" s="195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1955" t="s">
        <v>528</v>
      </c>
      <c r="H589" s="1955"/>
      <c r="I589" s="1955"/>
      <c r="J589" s="1955"/>
      <c r="K589" s="1955"/>
      <c r="L589" s="1955"/>
      <c r="M589" s="1955"/>
      <c r="N589" s="1955"/>
      <c r="O589" s="1955"/>
      <c r="P589" s="1955"/>
      <c r="Q589" s="1955"/>
      <c r="R589" s="1955"/>
      <c r="T589" s="35"/>
      <c r="U589" s="12" t="s">
        <v>616</v>
      </c>
      <c r="Z589" s="1959" t="s">
        <v>2587</v>
      </c>
      <c r="AA589" s="1960"/>
      <c r="AB589" s="1960"/>
      <c r="AC589" s="1960"/>
      <c r="AD589" s="1960"/>
      <c r="AE589" s="1960"/>
      <c r="AF589" s="1960"/>
      <c r="AG589" s="1960"/>
      <c r="AH589" s="1960"/>
      <c r="AI589" s="1960"/>
      <c r="AJ589" s="1960"/>
      <c r="AK589" s="196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54" t="s">
        <v>2496</v>
      </c>
      <c r="H590" s="1954"/>
      <c r="I590" s="1954"/>
      <c r="J590" s="1954"/>
      <c r="K590" s="1954"/>
      <c r="L590" s="1954"/>
      <c r="M590" s="1954"/>
      <c r="N590" s="1954"/>
      <c r="O590" s="1954"/>
      <c r="P590" s="1954"/>
      <c r="Q590" s="1954"/>
      <c r="R590" s="1954"/>
      <c r="T590" s="35"/>
      <c r="U590" s="12" t="s">
        <v>17</v>
      </c>
      <c r="Z590" s="2073" t="s">
        <v>2584</v>
      </c>
      <c r="AA590" s="1955"/>
      <c r="AB590" s="1955"/>
      <c r="AC590" s="1955"/>
      <c r="AD590" s="1955"/>
      <c r="AE590" s="1955"/>
      <c r="AF590" s="1955"/>
      <c r="AG590" s="1955"/>
      <c r="AH590" s="1955"/>
      <c r="AI590" s="1955"/>
      <c r="AJ590" s="1955"/>
      <c r="AK590" s="195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1954" t="s">
        <v>2499</v>
      </c>
      <c r="H591" s="1954"/>
      <c r="I591" s="1954"/>
      <c r="J591" s="1954"/>
      <c r="K591" s="1954"/>
      <c r="L591" s="1954"/>
      <c r="O591" s="137" t="s">
        <v>212</v>
      </c>
      <c r="P591" s="2027"/>
      <c r="Q591" s="2027"/>
      <c r="R591" s="2027"/>
      <c r="T591" s="35"/>
      <c r="U591" s="12" t="s">
        <v>327</v>
      </c>
      <c r="Z591" s="1954" t="s">
        <v>2585</v>
      </c>
      <c r="AA591" s="1954"/>
      <c r="AB591" s="1954"/>
      <c r="AC591" s="1954"/>
      <c r="AD591" s="1954"/>
      <c r="AE591" s="1954"/>
      <c r="AH591" s="137" t="s">
        <v>212</v>
      </c>
      <c r="AI591" s="2027"/>
      <c r="AJ591" s="2027"/>
      <c r="AK591" s="202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55" t="s">
        <v>2500</v>
      </c>
      <c r="I592" s="1955"/>
      <c r="J592" s="1955"/>
      <c r="K592" s="1955"/>
      <c r="L592" s="1955"/>
      <c r="M592" s="1955"/>
      <c r="N592" s="1955"/>
      <c r="O592" s="1955"/>
      <c r="P592" s="1955"/>
      <c r="Q592" s="1955"/>
      <c r="R592" s="1955"/>
      <c r="T592" s="35"/>
      <c r="U592" s="12" t="s">
        <v>18</v>
      </c>
      <c r="AA592" s="1955" t="s">
        <v>2500</v>
      </c>
      <c r="AB592" s="1955"/>
      <c r="AC592" s="1955"/>
      <c r="AD592" s="1955"/>
      <c r="AE592" s="1955"/>
      <c r="AF592" s="1955"/>
      <c r="AG592" s="1955"/>
      <c r="AH592" s="1955"/>
      <c r="AI592" s="1955"/>
      <c r="AJ592" s="1955"/>
      <c r="AK592" s="195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61" t="s">
        <v>579</v>
      </c>
      <c r="O593" s="1961"/>
      <c r="T593" s="35"/>
      <c r="U593" s="12" t="s">
        <v>20</v>
      </c>
      <c r="AG593" s="1961" t="s">
        <v>579</v>
      </c>
      <c r="AH593" s="196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72" t="str">
        <f>C568</f>
        <v>State LIHTC Equity</v>
      </c>
      <c r="H595" s="2072"/>
      <c r="I595" s="2072"/>
      <c r="J595" s="2072"/>
      <c r="K595" s="2072"/>
      <c r="L595" s="2072"/>
      <c r="M595" s="2072"/>
      <c r="N595" s="2072"/>
      <c r="O595" s="2072"/>
      <c r="P595" s="2072"/>
      <c r="Q595" s="2072"/>
      <c r="R595" s="2072"/>
      <c r="T595" s="87" t="s">
        <v>620</v>
      </c>
      <c r="U595" s="12" t="s">
        <v>497</v>
      </c>
      <c r="Z595" s="2072" t="str">
        <f>C569</f>
        <v>Deferred Costs</v>
      </c>
      <c r="AA595" s="2072"/>
      <c r="AB595" s="2072"/>
      <c r="AC595" s="2072"/>
      <c r="AD595" s="2072"/>
      <c r="AE595" s="2072"/>
      <c r="AF595" s="2072"/>
      <c r="AG595" s="2072"/>
      <c r="AH595" s="2072"/>
      <c r="AI595" s="2072"/>
      <c r="AJ595" s="2072"/>
      <c r="AK595" s="207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3" t="s">
        <v>2582</v>
      </c>
      <c r="H596" s="1955"/>
      <c r="I596" s="1955"/>
      <c r="J596" s="1955"/>
      <c r="K596" s="1955"/>
      <c r="L596" s="1955"/>
      <c r="M596" s="1955"/>
      <c r="N596" s="1955"/>
      <c r="O596" s="1955"/>
      <c r="P596" s="1955"/>
      <c r="Q596" s="1955"/>
      <c r="R596" s="1955"/>
      <c r="T596" s="35"/>
      <c r="U596" s="12" t="s">
        <v>90</v>
      </c>
      <c r="Z596" s="1955"/>
      <c r="AA596" s="1955"/>
      <c r="AB596" s="1955"/>
      <c r="AC596" s="1955"/>
      <c r="AD596" s="1955"/>
      <c r="AE596" s="1955"/>
      <c r="AF596" s="1955"/>
      <c r="AG596" s="1955"/>
      <c r="AH596" s="1955"/>
      <c r="AI596" s="1955"/>
      <c r="AJ596" s="1955"/>
      <c r="AK596" s="195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1959" t="s">
        <v>2587</v>
      </c>
      <c r="H597" s="1960"/>
      <c r="I597" s="1960"/>
      <c r="J597" s="1960"/>
      <c r="K597" s="1960"/>
      <c r="L597" s="1960"/>
      <c r="M597" s="1960"/>
      <c r="N597" s="1960"/>
      <c r="O597" s="1960"/>
      <c r="P597" s="1960"/>
      <c r="Q597" s="1960"/>
      <c r="R597" s="1960"/>
      <c r="T597" s="35"/>
      <c r="U597" s="12" t="s">
        <v>616</v>
      </c>
      <c r="Z597" s="1960"/>
      <c r="AA597" s="1960"/>
      <c r="AB597" s="1960"/>
      <c r="AC597" s="1960"/>
      <c r="AD597" s="1960"/>
      <c r="AE597" s="1960"/>
      <c r="AF597" s="1960"/>
      <c r="AG597" s="1960"/>
      <c r="AH597" s="1960"/>
      <c r="AI597" s="1960"/>
      <c r="AJ597" s="1960"/>
      <c r="AK597" s="196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3" t="s">
        <v>2584</v>
      </c>
      <c r="H598" s="1955"/>
      <c r="I598" s="1955"/>
      <c r="J598" s="1955"/>
      <c r="K598" s="1955"/>
      <c r="L598" s="1955"/>
      <c r="M598" s="1955"/>
      <c r="N598" s="1955"/>
      <c r="O598" s="1955"/>
      <c r="P598" s="1955"/>
      <c r="Q598" s="1955"/>
      <c r="R598" s="1955"/>
      <c r="T598" s="35"/>
      <c r="U598" s="12" t="s">
        <v>17</v>
      </c>
      <c r="Z598" s="1960"/>
      <c r="AA598" s="1960"/>
      <c r="AB598" s="1960"/>
      <c r="AC598" s="1960"/>
      <c r="AD598" s="1960"/>
      <c r="AE598" s="1960"/>
      <c r="AF598" s="1960"/>
      <c r="AG598" s="1960"/>
      <c r="AH598" s="1960"/>
      <c r="AI598" s="1960"/>
      <c r="AJ598" s="1960"/>
      <c r="AK598" s="196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1954" t="s">
        <v>2585</v>
      </c>
      <c r="H599" s="1954"/>
      <c r="I599" s="1954"/>
      <c r="J599" s="1954"/>
      <c r="K599" s="1954"/>
      <c r="L599" s="1954"/>
      <c r="O599" s="137" t="s">
        <v>212</v>
      </c>
      <c r="P599" s="2027"/>
      <c r="Q599" s="2027"/>
      <c r="R599" s="2027"/>
      <c r="T599" s="35"/>
      <c r="U599" s="12" t="s">
        <v>327</v>
      </c>
      <c r="Z599" s="2022"/>
      <c r="AA599" s="2022"/>
      <c r="AB599" s="2022"/>
      <c r="AC599" s="2022"/>
      <c r="AD599" s="2022"/>
      <c r="AE599" s="2022"/>
      <c r="AH599" s="137" t="s">
        <v>212</v>
      </c>
      <c r="AI599" s="2027"/>
      <c r="AJ599" s="2027"/>
      <c r="AK599" s="202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55" t="s">
        <v>2500</v>
      </c>
      <c r="I600" s="1955"/>
      <c r="J600" s="1955"/>
      <c r="K600" s="1955"/>
      <c r="L600" s="1955"/>
      <c r="M600" s="1955"/>
      <c r="N600" s="1955"/>
      <c r="O600" s="1955"/>
      <c r="P600" s="1955"/>
      <c r="Q600" s="1955"/>
      <c r="R600" s="1955"/>
      <c r="T600" s="35"/>
      <c r="U600" s="12" t="s">
        <v>18</v>
      </c>
      <c r="AA600" s="1955"/>
      <c r="AB600" s="1955"/>
      <c r="AC600" s="1955"/>
      <c r="AD600" s="1955"/>
      <c r="AE600" s="1955"/>
      <c r="AF600" s="1955"/>
      <c r="AG600" s="1955"/>
      <c r="AH600" s="1955"/>
      <c r="AI600" s="1955"/>
      <c r="AJ600" s="1955"/>
      <c r="AK600" s="195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961" t="s">
        <v>579</v>
      </c>
      <c r="O601" s="1961"/>
      <c r="T601" s="35"/>
      <c r="U601" s="12" t="s">
        <v>20</v>
      </c>
      <c r="AG601" s="1961" t="s">
        <v>579</v>
      </c>
      <c r="AH601" s="1961"/>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488</v>
      </c>
      <c r="B603" s="12" t="s">
        <v>497</v>
      </c>
      <c r="G603" s="2072">
        <f>C570</f>
        <v>0</v>
      </c>
      <c r="H603" s="2072"/>
      <c r="I603" s="2072"/>
      <c r="J603" s="2072"/>
      <c r="K603" s="2072"/>
      <c r="L603" s="2072"/>
      <c r="M603" s="2072"/>
      <c r="N603" s="2072"/>
      <c r="O603" s="2072"/>
      <c r="P603" s="2072"/>
      <c r="Q603" s="2072"/>
      <c r="R603" s="2072"/>
      <c r="T603" s="87" t="s">
        <v>489</v>
      </c>
      <c r="U603" s="12" t="s">
        <v>497</v>
      </c>
      <c r="Z603" s="2072">
        <f>C571</f>
        <v>0</v>
      </c>
      <c r="AA603" s="2072"/>
      <c r="AB603" s="2072"/>
      <c r="AC603" s="2072"/>
      <c r="AD603" s="2072"/>
      <c r="AE603" s="2072"/>
      <c r="AF603" s="2072"/>
      <c r="AG603" s="2072"/>
      <c r="AH603" s="2072"/>
      <c r="AI603" s="2072"/>
      <c r="AJ603" s="2072"/>
      <c r="AK603" s="207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1955"/>
      <c r="H604" s="1955"/>
      <c r="I604" s="1955"/>
      <c r="J604" s="1955"/>
      <c r="K604" s="1955"/>
      <c r="L604" s="1955"/>
      <c r="M604" s="1955"/>
      <c r="N604" s="1955"/>
      <c r="O604" s="1955"/>
      <c r="P604" s="1955"/>
      <c r="Q604" s="1955"/>
      <c r="R604" s="1955"/>
      <c r="T604" s="35"/>
      <c r="U604" s="12" t="s">
        <v>90</v>
      </c>
      <c r="Z604" s="1955"/>
      <c r="AA604" s="1955"/>
      <c r="AB604" s="1955"/>
      <c r="AC604" s="1955"/>
      <c r="AD604" s="1955"/>
      <c r="AE604" s="1955"/>
      <c r="AF604" s="1955"/>
      <c r="AG604" s="1955"/>
      <c r="AH604" s="1955"/>
      <c r="AI604" s="1955"/>
      <c r="AJ604" s="1955"/>
      <c r="AK604" s="195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1955"/>
      <c r="H605" s="1955"/>
      <c r="I605" s="1955"/>
      <c r="J605" s="1955"/>
      <c r="K605" s="1955"/>
      <c r="L605" s="1955"/>
      <c r="M605" s="1955"/>
      <c r="N605" s="1955"/>
      <c r="O605" s="1955"/>
      <c r="P605" s="1955"/>
      <c r="Q605" s="1955"/>
      <c r="R605" s="1955"/>
      <c r="T605" s="35"/>
      <c r="U605" s="12" t="s">
        <v>616</v>
      </c>
      <c r="Z605" s="1960"/>
      <c r="AA605" s="1960"/>
      <c r="AB605" s="1960"/>
      <c r="AC605" s="1960"/>
      <c r="AD605" s="1960"/>
      <c r="AE605" s="1960"/>
      <c r="AF605" s="1960"/>
      <c r="AG605" s="1960"/>
      <c r="AH605" s="1960"/>
      <c r="AI605" s="1960"/>
      <c r="AJ605" s="1960"/>
      <c r="AK605" s="196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1955"/>
      <c r="H606" s="1955"/>
      <c r="I606" s="1955"/>
      <c r="J606" s="1955"/>
      <c r="K606" s="1955"/>
      <c r="L606" s="1955"/>
      <c r="M606" s="1955"/>
      <c r="N606" s="1955"/>
      <c r="O606" s="1955"/>
      <c r="P606" s="1955"/>
      <c r="Q606" s="1955"/>
      <c r="R606" s="1955"/>
      <c r="T606" s="35"/>
      <c r="U606" s="12" t="s">
        <v>17</v>
      </c>
      <c r="Z606" s="1960"/>
      <c r="AA606" s="1960"/>
      <c r="AB606" s="1960"/>
      <c r="AC606" s="1960"/>
      <c r="AD606" s="1960"/>
      <c r="AE606" s="1960"/>
      <c r="AF606" s="1960"/>
      <c r="AG606" s="1960"/>
      <c r="AH606" s="1960"/>
      <c r="AI606" s="1960"/>
      <c r="AJ606" s="1960"/>
      <c r="AK606" s="196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22"/>
      <c r="H607" s="2022"/>
      <c r="I607" s="2022"/>
      <c r="J607" s="2022"/>
      <c r="K607" s="2022"/>
      <c r="L607" s="2022"/>
      <c r="M607" s="12"/>
      <c r="N607" s="12"/>
      <c r="O607" s="137" t="s">
        <v>212</v>
      </c>
      <c r="P607" s="2027"/>
      <c r="Q607" s="2027"/>
      <c r="R607" s="2027"/>
      <c r="S607" s="12"/>
      <c r="T607" s="35"/>
      <c r="U607" s="12" t="s">
        <v>327</v>
      </c>
      <c r="V607" s="12"/>
      <c r="W607" s="12"/>
      <c r="X607" s="12"/>
      <c r="Y607" s="12"/>
      <c r="Z607" s="2022"/>
      <c r="AA607" s="2022"/>
      <c r="AB607" s="2022"/>
      <c r="AC607" s="2022"/>
      <c r="AD607" s="2022"/>
      <c r="AE607" s="2022"/>
      <c r="AF607" s="12"/>
      <c r="AG607" s="12"/>
      <c r="AH607" s="137" t="s">
        <v>212</v>
      </c>
      <c r="AI607" s="2027"/>
      <c r="AJ607" s="2027"/>
      <c r="AK607" s="202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1955"/>
      <c r="I608" s="1955"/>
      <c r="J608" s="1955"/>
      <c r="K608" s="1955"/>
      <c r="L608" s="1955"/>
      <c r="M608" s="1955"/>
      <c r="N608" s="1955"/>
      <c r="O608" s="1955"/>
      <c r="P608" s="1955"/>
      <c r="Q608" s="1955"/>
      <c r="R608" s="1955"/>
      <c r="S608" s="12"/>
      <c r="T608" s="35"/>
      <c r="U608" s="12" t="s">
        <v>18</v>
      </c>
      <c r="V608" s="12"/>
      <c r="W608" s="12"/>
      <c r="X608" s="12"/>
      <c r="Y608" s="12"/>
      <c r="Z608" s="12"/>
      <c r="AA608" s="1955"/>
      <c r="AB608" s="1955"/>
      <c r="AC608" s="1955"/>
      <c r="AD608" s="1955"/>
      <c r="AE608" s="1955"/>
      <c r="AF608" s="1955"/>
      <c r="AG608" s="1955"/>
      <c r="AH608" s="1955"/>
      <c r="AI608" s="1955"/>
      <c r="AJ608" s="1955"/>
      <c r="AK608" s="195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961" t="s">
        <v>707</v>
      </c>
      <c r="O609" s="1961"/>
      <c r="P609" s="12"/>
      <c r="Q609" s="12"/>
      <c r="R609" s="12"/>
      <c r="S609" s="12"/>
      <c r="T609" s="35"/>
      <c r="U609" s="12" t="s">
        <v>20</v>
      </c>
      <c r="V609" s="12"/>
      <c r="W609" s="12"/>
      <c r="X609" s="12"/>
      <c r="Y609" s="12"/>
      <c r="Z609" s="12"/>
      <c r="AA609" s="12"/>
      <c r="AB609" s="12"/>
      <c r="AC609" s="12"/>
      <c r="AD609" s="12"/>
      <c r="AE609" s="12"/>
      <c r="AF609" s="12"/>
      <c r="AG609" s="1961" t="s">
        <v>707</v>
      </c>
      <c r="AH609" s="196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104"/>
      <c r="BH609" s="2105"/>
      <c r="BI609" s="185" t="s">
        <v>509</v>
      </c>
      <c r="BJ609" s="186"/>
      <c r="BK609" s="2104"/>
      <c r="BL609" s="2105"/>
      <c r="BM609" s="58"/>
      <c r="BN609" s="2336" t="s">
        <v>669</v>
      </c>
      <c r="BO609" s="2337"/>
      <c r="BP609" s="2337"/>
      <c r="BQ609" s="2337"/>
      <c r="BR609" s="2338"/>
      <c r="BS609" s="2120" t="s">
        <v>336</v>
      </c>
      <c r="BT609" s="2120"/>
      <c r="BU609" s="2120"/>
      <c r="BV609" s="2120"/>
      <c r="BW609" s="2120"/>
      <c r="BX609" s="2120" t="s">
        <v>168</v>
      </c>
      <c r="BY609" s="2120"/>
      <c r="BZ609" s="2120"/>
      <c r="CA609" s="2120"/>
      <c r="CB609" s="2120"/>
      <c r="CC609" s="2120" t="s">
        <v>169</v>
      </c>
      <c r="CD609" s="2120"/>
      <c r="CE609" s="2120"/>
      <c r="CF609" s="2120"/>
      <c r="CG609" s="2120"/>
      <c r="CH609" s="2120" t="s">
        <v>494</v>
      </c>
      <c r="CI609" s="2120"/>
      <c r="CJ609" s="2120"/>
      <c r="CK609" s="2120"/>
      <c r="CL609" s="2120"/>
      <c r="CM609" s="2120" t="s">
        <v>31</v>
      </c>
      <c r="CN609" s="2120"/>
      <c r="CO609" s="2120"/>
      <c r="CP609" s="2120"/>
      <c r="CQ609" s="2120"/>
      <c r="CR609" s="1822"/>
      <c r="CS609" s="2120" t="s">
        <v>669</v>
      </c>
      <c r="CT609" s="2120"/>
      <c r="CU609" s="2120"/>
      <c r="CV609" s="2120"/>
      <c r="CW609" s="2120"/>
      <c r="CX609" s="2120" t="s">
        <v>336</v>
      </c>
      <c r="CY609" s="2120"/>
      <c r="CZ609" s="2120"/>
      <c r="DA609" s="2120"/>
      <c r="DB609" s="2120"/>
      <c r="DC609" s="2120" t="s">
        <v>168</v>
      </c>
      <c r="DD609" s="2120"/>
      <c r="DE609" s="2120"/>
      <c r="DF609" s="2120"/>
      <c r="DG609" s="2120"/>
      <c r="DH609" s="2120" t="s">
        <v>169</v>
      </c>
      <c r="DI609" s="2120"/>
      <c r="DJ609" s="2120"/>
      <c r="DK609" s="2120"/>
      <c r="DL609" s="2120"/>
      <c r="DM609" s="2120" t="s">
        <v>494</v>
      </c>
      <c r="DN609" s="2120"/>
      <c r="DO609" s="2120"/>
      <c r="DP609" s="2120"/>
      <c r="DQ609" s="2120"/>
      <c r="DR609" s="2120" t="s">
        <v>31</v>
      </c>
      <c r="DS609" s="2120"/>
      <c r="DT609" s="2120"/>
      <c r="DU609" s="2120"/>
      <c r="DV609" s="2120"/>
      <c r="DX609" s="2120" t="s">
        <v>669</v>
      </c>
      <c r="DY609" s="2120"/>
      <c r="DZ609" s="2120"/>
      <c r="EA609" s="2120"/>
      <c r="EB609" s="2120"/>
      <c r="EC609" s="2120" t="s">
        <v>336</v>
      </c>
      <c r="ED609" s="2120"/>
      <c r="EE609" s="2120"/>
      <c r="EF609" s="2120"/>
      <c r="EG609" s="2120"/>
      <c r="EH609" s="2120" t="s">
        <v>168</v>
      </c>
      <c r="EI609" s="2120"/>
      <c r="EJ609" s="2120"/>
      <c r="EK609" s="2120"/>
      <c r="EL609" s="2120"/>
      <c r="EM609" s="2120" t="s">
        <v>169</v>
      </c>
      <c r="EN609" s="2120"/>
      <c r="EO609" s="2120"/>
      <c r="EP609" s="2120"/>
      <c r="EQ609" s="2120"/>
      <c r="ER609" s="2120" t="s">
        <v>494</v>
      </c>
      <c r="ES609" s="2120"/>
      <c r="ET609" s="2120"/>
      <c r="EU609" s="2120"/>
      <c r="EV609" s="2120"/>
      <c r="EW609" s="2120" t="s">
        <v>31</v>
      </c>
      <c r="EX609" s="2120"/>
      <c r="EY609" s="2120"/>
      <c r="EZ609" s="2120"/>
      <c r="FA609" s="2120"/>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102">
        <f t="shared" ref="BE610:BE634" si="0">IF(AND(AH728&lt;=0.5,AH728&gt;=0.36),1,0)</f>
        <v>0</v>
      </c>
      <c r="BF610" s="2103"/>
      <c r="BG610" s="2104">
        <f t="shared" ref="BG610:BG634" si="1">IF(BE610=1,G728,0)</f>
        <v>0</v>
      </c>
      <c r="BH610" s="2105"/>
      <c r="BI610" s="2102">
        <f t="shared" ref="BI610:BI634" si="2">IF(AND(AH728&lt;=0.35,AH728&gt;0),1,0)</f>
        <v>0</v>
      </c>
      <c r="BJ610" s="2103"/>
      <c r="BK610" s="2104">
        <f t="shared" ref="BK610:BK634" si="3">IF(BI610=1,G728,0)</f>
        <v>0</v>
      </c>
      <c r="BL610" s="2105"/>
      <c r="BM610" s="58"/>
      <c r="BN610" s="2099">
        <f t="shared" ref="BN610:BN634" si="4">IF(B728="SRO/Studio",G728,0)</f>
        <v>0</v>
      </c>
      <c r="BO610" s="2100"/>
      <c r="BP610" s="2100"/>
      <c r="BQ610" s="2100"/>
      <c r="BR610" s="2101"/>
      <c r="BS610" s="2106">
        <f t="shared" ref="BS610:BS634" si="5">IF(B728="1 Bedroom",G728,0)</f>
        <v>0</v>
      </c>
      <c r="BT610" s="2106"/>
      <c r="BU610" s="2106"/>
      <c r="BV610" s="2106"/>
      <c r="BW610" s="2106"/>
      <c r="BX610" s="2106">
        <f t="shared" ref="BX610:BX634" si="6">IF(B728="2 Bedrooms",G728,0)</f>
        <v>4</v>
      </c>
      <c r="BY610" s="2106"/>
      <c r="BZ610" s="2106"/>
      <c r="CA610" s="2106"/>
      <c r="CB610" s="2106"/>
      <c r="CC610" s="2106">
        <f t="shared" ref="CC610:CC634" si="7">IF(B728="3 Bedrooms",G728,0)</f>
        <v>0</v>
      </c>
      <c r="CD610" s="2106"/>
      <c r="CE610" s="2106"/>
      <c r="CF610" s="2106"/>
      <c r="CG610" s="2106"/>
      <c r="CH610" s="2106">
        <f t="shared" ref="CH610:CH634" si="8">IF(B728="4 Bedrooms",G728,0)</f>
        <v>0</v>
      </c>
      <c r="CI610" s="2106"/>
      <c r="CJ610" s="2106"/>
      <c r="CK610" s="2106"/>
      <c r="CL610" s="2106"/>
      <c r="CM610" s="2106">
        <f t="shared" ref="CM610:CM634" si="9">IF(B728="5 Bedrooms",G728,0)</f>
        <v>0</v>
      </c>
      <c r="CN610" s="2106"/>
      <c r="CO610" s="2106"/>
      <c r="CP610" s="2106"/>
      <c r="CQ610" s="2106"/>
      <c r="CR610" s="265"/>
      <c r="CS610" s="2303">
        <f t="shared" ref="CS610:CS634" si="10">IF(AND(B728="SRO/Studio",AH728&lt;=0.3),G728,0)</f>
        <v>0</v>
      </c>
      <c r="CT610" s="2303"/>
      <c r="CU610" s="2303"/>
      <c r="CV610" s="2303"/>
      <c r="CW610" s="2303"/>
      <c r="CX610" s="2303">
        <f t="shared" ref="CX610:CX634" si="11">IF(AND(B728="1 Bedroom",AH728&lt;=0.3),G728,0)</f>
        <v>0</v>
      </c>
      <c r="CY610" s="2303"/>
      <c r="CZ610" s="2303"/>
      <c r="DA610" s="2303"/>
      <c r="DB610" s="2303"/>
      <c r="DC610" s="2303">
        <f t="shared" ref="DC610:DC634" si="12">IF(AND(B728="2 Bedrooms",AH728&lt;=0.3),G728,0)</f>
        <v>0</v>
      </c>
      <c r="DD610" s="2303"/>
      <c r="DE610" s="2303"/>
      <c r="DF610" s="2303"/>
      <c r="DG610" s="2303"/>
      <c r="DH610" s="2303">
        <f t="shared" ref="DH610:DH634" si="13">IF(AND(B728="3 Bedrooms",AH728&lt;=0.3),G728,0)</f>
        <v>0</v>
      </c>
      <c r="DI610" s="2303"/>
      <c r="DJ610" s="2303"/>
      <c r="DK610" s="2303"/>
      <c r="DL610" s="2303"/>
      <c r="DM610" s="2303">
        <f t="shared" ref="DM610:DM634" si="14">IF(AND(B728="4 Bedrooms",AH728&lt;=0.3),G728,0)</f>
        <v>0</v>
      </c>
      <c r="DN610" s="2303"/>
      <c r="DO610" s="2303"/>
      <c r="DP610" s="2303"/>
      <c r="DQ610" s="2303"/>
      <c r="DR610" s="2303">
        <f t="shared" ref="DR610:DR634" si="15">IF(AND(B728="5 Bedrooms",AH728&lt;=0.3),G728,0)</f>
        <v>0</v>
      </c>
      <c r="DS610" s="2303"/>
      <c r="DT610" s="2303"/>
      <c r="DU610" s="2303"/>
      <c r="DV610" s="2303"/>
      <c r="DX610" s="2102" t="str">
        <f t="shared" ref="DX610:DX634" si="16">IF(BN610&gt;0,O728," ")</f>
        <v xml:space="preserve"> </v>
      </c>
      <c r="DY610" s="2118"/>
      <c r="DZ610" s="2118"/>
      <c r="EA610" s="2118"/>
      <c r="EB610" s="2103"/>
      <c r="EC610" s="2102" t="str">
        <f t="shared" ref="EC610:EC634" si="17">IF(BS610&gt;0,O728," ")</f>
        <v xml:space="preserve"> </v>
      </c>
      <c r="ED610" s="2118"/>
      <c r="EE610" s="2118"/>
      <c r="EF610" s="2118"/>
      <c r="EG610" s="2103"/>
      <c r="EH610" s="2102">
        <f t="shared" ref="EH610:EH634" si="18">IF(BX610&gt;0,O728," ")</f>
        <v>1676</v>
      </c>
      <c r="EI610" s="2118"/>
      <c r="EJ610" s="2118"/>
      <c r="EK610" s="2118"/>
      <c r="EL610" s="2103"/>
      <c r="EM610" s="2102" t="str">
        <f t="shared" ref="EM610:EM634" si="19">IF(CC610&gt;0,O728," ")</f>
        <v xml:space="preserve"> </v>
      </c>
      <c r="EN610" s="2118"/>
      <c r="EO610" s="2118"/>
      <c r="EP610" s="2118"/>
      <c r="EQ610" s="2103"/>
      <c r="ER610" s="2102" t="str">
        <f t="shared" ref="ER610:ER634" si="20">IF(CH610&gt;0,O728," ")</f>
        <v xml:space="preserve"> </v>
      </c>
      <c r="ES610" s="2118"/>
      <c r="ET610" s="2118"/>
      <c r="EU610" s="2118"/>
      <c r="EV610" s="2103"/>
      <c r="EW610" s="2102" t="str">
        <f t="shared" ref="EW610:EW634" si="21">IF(CM610&gt;0,O728," ")</f>
        <v xml:space="preserve"> </v>
      </c>
      <c r="EX610" s="2118"/>
      <c r="EY610" s="2118"/>
      <c r="EZ610" s="2118"/>
      <c r="FA610" s="2103"/>
    </row>
    <row r="611" spans="1:157" s="7" customFormat="1" ht="13.2">
      <c r="A611" s="87" t="s">
        <v>495</v>
      </c>
      <c r="B611" s="12" t="s">
        <v>497</v>
      </c>
      <c r="C611" s="12"/>
      <c r="D611" s="12"/>
      <c r="E611" s="12"/>
      <c r="F611" s="12"/>
      <c r="G611" s="2072">
        <f>C572</f>
        <v>0</v>
      </c>
      <c r="H611" s="2072"/>
      <c r="I611" s="2072"/>
      <c r="J611" s="2072"/>
      <c r="K611" s="2072"/>
      <c r="L611" s="2072"/>
      <c r="M611" s="2072"/>
      <c r="N611" s="2072"/>
      <c r="O611" s="2072"/>
      <c r="P611" s="2072"/>
      <c r="Q611" s="2072"/>
      <c r="R611" s="2072"/>
      <c r="S611" s="12"/>
      <c r="T611" s="87" t="s">
        <v>682</v>
      </c>
      <c r="U611" s="12" t="s">
        <v>497</v>
      </c>
      <c r="V611" s="12"/>
      <c r="W611" s="12"/>
      <c r="X611" s="12"/>
      <c r="Y611" s="12"/>
      <c r="Z611" s="2072">
        <f>C573</f>
        <v>0</v>
      </c>
      <c r="AA611" s="2072"/>
      <c r="AB611" s="2072"/>
      <c r="AC611" s="2072"/>
      <c r="AD611" s="2072"/>
      <c r="AE611" s="2072"/>
      <c r="AF611" s="2072"/>
      <c r="AG611" s="2072"/>
      <c r="AH611" s="2072"/>
      <c r="AI611" s="2072"/>
      <c r="AJ611" s="2072"/>
      <c r="AK611" s="2072"/>
      <c r="AL611" s="12"/>
      <c r="AM611" s="39"/>
      <c r="AN611" s="39"/>
      <c r="AO611" s="39"/>
      <c r="AP611" s="39"/>
      <c r="AQ611" s="39"/>
      <c r="AR611" s="39"/>
      <c r="AS611" s="39"/>
      <c r="AT611" s="39"/>
      <c r="AU611" s="39"/>
      <c r="AV611" s="39"/>
      <c r="AW611" s="39"/>
      <c r="AX611" s="39"/>
      <c r="AY611" s="39"/>
      <c r="BA611" s="7" t="s">
        <v>168</v>
      </c>
      <c r="BB611" s="58"/>
      <c r="BC611" s="58"/>
      <c r="BD611" s="58"/>
      <c r="BE611" s="2102">
        <f t="shared" si="0"/>
        <v>1</v>
      </c>
      <c r="BF611" s="2103"/>
      <c r="BG611" s="2104">
        <f t="shared" si="1"/>
        <v>1</v>
      </c>
      <c r="BH611" s="2105"/>
      <c r="BI611" s="2102">
        <f t="shared" si="2"/>
        <v>0</v>
      </c>
      <c r="BJ611" s="2103"/>
      <c r="BK611" s="2104">
        <f t="shared" si="3"/>
        <v>0</v>
      </c>
      <c r="BL611" s="2105"/>
      <c r="BM611" s="58"/>
      <c r="BN611" s="2099">
        <f t="shared" si="4"/>
        <v>0</v>
      </c>
      <c r="BO611" s="2100"/>
      <c r="BP611" s="2100"/>
      <c r="BQ611" s="2100"/>
      <c r="BR611" s="2101"/>
      <c r="BS611" s="2106">
        <f t="shared" si="5"/>
        <v>0</v>
      </c>
      <c r="BT611" s="2106"/>
      <c r="BU611" s="2106"/>
      <c r="BV611" s="2106"/>
      <c r="BW611" s="2106"/>
      <c r="BX611" s="2106">
        <f t="shared" si="6"/>
        <v>1</v>
      </c>
      <c r="BY611" s="2106"/>
      <c r="BZ611" s="2106"/>
      <c r="CA611" s="2106"/>
      <c r="CB611" s="2106"/>
      <c r="CC611" s="2106">
        <f t="shared" si="7"/>
        <v>0</v>
      </c>
      <c r="CD611" s="2106"/>
      <c r="CE611" s="2106"/>
      <c r="CF611" s="2106"/>
      <c r="CG611" s="2106"/>
      <c r="CH611" s="2106">
        <f t="shared" si="8"/>
        <v>0</v>
      </c>
      <c r="CI611" s="2106"/>
      <c r="CJ611" s="2106"/>
      <c r="CK611" s="2106"/>
      <c r="CL611" s="2106"/>
      <c r="CM611" s="2106">
        <f t="shared" si="9"/>
        <v>0</v>
      </c>
      <c r="CN611" s="2106"/>
      <c r="CO611" s="2106"/>
      <c r="CP611" s="2106"/>
      <c r="CQ611" s="2106"/>
      <c r="CR611" s="265"/>
      <c r="CS611" s="2303">
        <f t="shared" si="10"/>
        <v>0</v>
      </c>
      <c r="CT611" s="2303"/>
      <c r="CU611" s="2303"/>
      <c r="CV611" s="2303"/>
      <c r="CW611" s="2303"/>
      <c r="CX611" s="2303">
        <f t="shared" si="11"/>
        <v>0</v>
      </c>
      <c r="CY611" s="2303"/>
      <c r="CZ611" s="2303"/>
      <c r="DA611" s="2303"/>
      <c r="DB611" s="2303"/>
      <c r="DC611" s="2303">
        <f t="shared" si="12"/>
        <v>0</v>
      </c>
      <c r="DD611" s="2303"/>
      <c r="DE611" s="2303"/>
      <c r="DF611" s="2303"/>
      <c r="DG611" s="2303"/>
      <c r="DH611" s="2303">
        <f t="shared" si="13"/>
        <v>0</v>
      </c>
      <c r="DI611" s="2303"/>
      <c r="DJ611" s="2303"/>
      <c r="DK611" s="2303"/>
      <c r="DL611" s="2303"/>
      <c r="DM611" s="2303">
        <f t="shared" si="14"/>
        <v>0</v>
      </c>
      <c r="DN611" s="2303"/>
      <c r="DO611" s="2303"/>
      <c r="DP611" s="2303"/>
      <c r="DQ611" s="2303"/>
      <c r="DR611" s="2303">
        <f t="shared" si="15"/>
        <v>0</v>
      </c>
      <c r="DS611" s="2303"/>
      <c r="DT611" s="2303"/>
      <c r="DU611" s="2303"/>
      <c r="DV611" s="2303"/>
      <c r="DX611" s="2102" t="str">
        <f t="shared" si="16"/>
        <v xml:space="preserve"> </v>
      </c>
      <c r="DY611" s="2118"/>
      <c r="DZ611" s="2118"/>
      <c r="EA611" s="2118"/>
      <c r="EB611" s="2103"/>
      <c r="EC611" s="2102" t="str">
        <f t="shared" si="17"/>
        <v xml:space="preserve"> </v>
      </c>
      <c r="ED611" s="2118"/>
      <c r="EE611" s="2118"/>
      <c r="EF611" s="2118"/>
      <c r="EG611" s="2103"/>
      <c r="EH611" s="2102">
        <f t="shared" si="18"/>
        <v>1164</v>
      </c>
      <c r="EI611" s="2118"/>
      <c r="EJ611" s="2118"/>
      <c r="EK611" s="2118"/>
      <c r="EL611" s="2103"/>
      <c r="EM611" s="2102" t="str">
        <f t="shared" si="19"/>
        <v xml:space="preserve"> </v>
      </c>
      <c r="EN611" s="2118"/>
      <c r="EO611" s="2118"/>
      <c r="EP611" s="2118"/>
      <c r="EQ611" s="2103"/>
      <c r="ER611" s="2102" t="str">
        <f t="shared" si="20"/>
        <v xml:space="preserve"> </v>
      </c>
      <c r="ES611" s="2118"/>
      <c r="ET611" s="2118"/>
      <c r="EU611" s="2118"/>
      <c r="EV611" s="2103"/>
      <c r="EW611" s="2102" t="str">
        <f t="shared" si="21"/>
        <v xml:space="preserve"> </v>
      </c>
      <c r="EX611" s="2118"/>
      <c r="EY611" s="2118"/>
      <c r="EZ611" s="2118"/>
      <c r="FA611" s="2103"/>
    </row>
    <row r="612" spans="1:157" ht="13.2">
      <c r="A612" s="35"/>
      <c r="B612" s="12" t="s">
        <v>90</v>
      </c>
      <c r="G612" s="1955"/>
      <c r="H612" s="1955"/>
      <c r="I612" s="1955"/>
      <c r="J612" s="1955"/>
      <c r="K612" s="1955"/>
      <c r="L612" s="1955"/>
      <c r="M612" s="1955"/>
      <c r="N612" s="1955"/>
      <c r="O612" s="1955"/>
      <c r="P612" s="1955"/>
      <c r="Q612" s="1955"/>
      <c r="R612" s="1955"/>
      <c r="T612" s="35"/>
      <c r="U612" s="12" t="s">
        <v>90</v>
      </c>
      <c r="Z612" s="1955"/>
      <c r="AA612" s="1955"/>
      <c r="AB612" s="1955"/>
      <c r="AC612" s="1955"/>
      <c r="AD612" s="1955"/>
      <c r="AE612" s="1955"/>
      <c r="AF612" s="1955"/>
      <c r="AG612" s="1955"/>
      <c r="AH612" s="1955"/>
      <c r="AI612" s="1955"/>
      <c r="AJ612" s="1955"/>
      <c r="AK612" s="1955"/>
      <c r="BA612" s="7" t="s">
        <v>169</v>
      </c>
      <c r="BB612" s="58"/>
      <c r="BC612" s="58"/>
      <c r="BD612" s="58"/>
      <c r="BE612" s="2102">
        <f t="shared" si="0"/>
        <v>0</v>
      </c>
      <c r="BF612" s="2103"/>
      <c r="BG612" s="2104">
        <f t="shared" si="1"/>
        <v>0</v>
      </c>
      <c r="BH612" s="2105"/>
      <c r="BI612" s="2102">
        <f t="shared" si="2"/>
        <v>1</v>
      </c>
      <c r="BJ612" s="2103"/>
      <c r="BK612" s="2104">
        <f t="shared" si="3"/>
        <v>1</v>
      </c>
      <c r="BL612" s="2105"/>
      <c r="BM612" s="58"/>
      <c r="BN612" s="2099">
        <f t="shared" si="4"/>
        <v>0</v>
      </c>
      <c r="BO612" s="2100"/>
      <c r="BP612" s="2100"/>
      <c r="BQ612" s="2100"/>
      <c r="BR612" s="2101"/>
      <c r="BS612" s="2106">
        <f t="shared" si="5"/>
        <v>0</v>
      </c>
      <c r="BT612" s="2106"/>
      <c r="BU612" s="2106"/>
      <c r="BV612" s="2106"/>
      <c r="BW612" s="2106"/>
      <c r="BX612" s="2106">
        <f t="shared" si="6"/>
        <v>1</v>
      </c>
      <c r="BY612" s="2106"/>
      <c r="BZ612" s="2106"/>
      <c r="CA612" s="2106"/>
      <c r="CB612" s="2106"/>
      <c r="CC612" s="2106">
        <f t="shared" si="7"/>
        <v>0</v>
      </c>
      <c r="CD612" s="2106"/>
      <c r="CE612" s="2106"/>
      <c r="CF612" s="2106"/>
      <c r="CG612" s="2106"/>
      <c r="CH612" s="2106">
        <f t="shared" si="8"/>
        <v>0</v>
      </c>
      <c r="CI612" s="2106"/>
      <c r="CJ612" s="2106"/>
      <c r="CK612" s="2106"/>
      <c r="CL612" s="2106"/>
      <c r="CM612" s="2106">
        <f t="shared" si="9"/>
        <v>0</v>
      </c>
      <c r="CN612" s="2106"/>
      <c r="CO612" s="2106"/>
      <c r="CP612" s="2106"/>
      <c r="CQ612" s="2106"/>
      <c r="CR612" s="265"/>
      <c r="CS612" s="2303">
        <f t="shared" si="10"/>
        <v>0</v>
      </c>
      <c r="CT612" s="2303"/>
      <c r="CU612" s="2303"/>
      <c r="CV612" s="2303"/>
      <c r="CW612" s="2303"/>
      <c r="CX612" s="2303">
        <f t="shared" si="11"/>
        <v>0</v>
      </c>
      <c r="CY612" s="2303"/>
      <c r="CZ612" s="2303"/>
      <c r="DA612" s="2303"/>
      <c r="DB612" s="2303"/>
      <c r="DC612" s="2303">
        <f t="shared" si="12"/>
        <v>1</v>
      </c>
      <c r="DD612" s="2303"/>
      <c r="DE612" s="2303"/>
      <c r="DF612" s="2303"/>
      <c r="DG612" s="2303"/>
      <c r="DH612" s="2303">
        <f t="shared" si="13"/>
        <v>0</v>
      </c>
      <c r="DI612" s="2303"/>
      <c r="DJ612" s="2303"/>
      <c r="DK612" s="2303"/>
      <c r="DL612" s="2303"/>
      <c r="DM612" s="2303">
        <f t="shared" si="14"/>
        <v>0</v>
      </c>
      <c r="DN612" s="2303"/>
      <c r="DO612" s="2303"/>
      <c r="DP612" s="2303"/>
      <c r="DQ612" s="2303"/>
      <c r="DR612" s="2303">
        <f t="shared" si="15"/>
        <v>0</v>
      </c>
      <c r="DS612" s="2303"/>
      <c r="DT612" s="2303"/>
      <c r="DU612" s="2303"/>
      <c r="DV612" s="2303"/>
      <c r="DX612" s="2102" t="str">
        <f t="shared" si="16"/>
        <v xml:space="preserve"> </v>
      </c>
      <c r="DY612" s="2118"/>
      <c r="DZ612" s="2118"/>
      <c r="EA612" s="2118"/>
      <c r="EB612" s="2103"/>
      <c r="EC612" s="2102" t="str">
        <f t="shared" si="17"/>
        <v xml:space="preserve"> </v>
      </c>
      <c r="ED612" s="2118"/>
      <c r="EE612" s="2118"/>
      <c r="EF612" s="2118"/>
      <c r="EG612" s="2103"/>
      <c r="EH612" s="2102">
        <f t="shared" si="18"/>
        <v>653</v>
      </c>
      <c r="EI612" s="2118"/>
      <c r="EJ612" s="2118"/>
      <c r="EK612" s="2118"/>
      <c r="EL612" s="2103"/>
      <c r="EM612" s="2102" t="str">
        <f t="shared" si="19"/>
        <v xml:space="preserve"> </v>
      </c>
      <c r="EN612" s="2118"/>
      <c r="EO612" s="2118"/>
      <c r="EP612" s="2118"/>
      <c r="EQ612" s="2103"/>
      <c r="ER612" s="2102" t="str">
        <f t="shared" si="20"/>
        <v xml:space="preserve"> </v>
      </c>
      <c r="ES612" s="2118"/>
      <c r="ET612" s="2118"/>
      <c r="EU612" s="2118"/>
      <c r="EV612" s="2103"/>
      <c r="EW612" s="2102" t="str">
        <f t="shared" si="21"/>
        <v xml:space="preserve"> </v>
      </c>
      <c r="EX612" s="2118"/>
      <c r="EY612" s="2118"/>
      <c r="EZ612" s="2118"/>
      <c r="FA612" s="2103"/>
    </row>
    <row r="613" spans="1:157" ht="13.2">
      <c r="A613" s="35"/>
      <c r="B613" s="12" t="s">
        <v>616</v>
      </c>
      <c r="G613" s="1955"/>
      <c r="H613" s="1955"/>
      <c r="I613" s="1955"/>
      <c r="J613" s="1955"/>
      <c r="K613" s="1955"/>
      <c r="L613" s="1955"/>
      <c r="M613" s="1955"/>
      <c r="N613" s="1955"/>
      <c r="O613" s="1955"/>
      <c r="P613" s="1955"/>
      <c r="Q613" s="1955"/>
      <c r="R613" s="1955"/>
      <c r="T613" s="35"/>
      <c r="U613" s="12" t="s">
        <v>616</v>
      </c>
      <c r="Z613" s="1960"/>
      <c r="AA613" s="1960"/>
      <c r="AB613" s="1960"/>
      <c r="AC613" s="1960"/>
      <c r="AD613" s="1960"/>
      <c r="AE613" s="1960"/>
      <c r="AF613" s="1960"/>
      <c r="AG613" s="1960"/>
      <c r="AH613" s="1960"/>
      <c r="AI613" s="1960"/>
      <c r="AJ613" s="1960"/>
      <c r="AK613" s="1960"/>
      <c r="BA613" s="7" t="s">
        <v>170</v>
      </c>
      <c r="BB613" s="58"/>
      <c r="BC613" s="58"/>
      <c r="BD613" s="58"/>
      <c r="BE613" s="2102">
        <f t="shared" si="0"/>
        <v>0</v>
      </c>
      <c r="BF613" s="2103"/>
      <c r="BG613" s="2104">
        <f t="shared" si="1"/>
        <v>0</v>
      </c>
      <c r="BH613" s="2105"/>
      <c r="BI613" s="2102">
        <f t="shared" si="2"/>
        <v>0</v>
      </c>
      <c r="BJ613" s="2103"/>
      <c r="BK613" s="2104">
        <f t="shared" si="3"/>
        <v>0</v>
      </c>
      <c r="BL613" s="2105"/>
      <c r="BM613" s="58"/>
      <c r="BN613" s="2099">
        <f t="shared" si="4"/>
        <v>0</v>
      </c>
      <c r="BO613" s="2100"/>
      <c r="BP613" s="2100"/>
      <c r="BQ613" s="2100"/>
      <c r="BR613" s="2101"/>
      <c r="BS613" s="2106">
        <f t="shared" si="5"/>
        <v>0</v>
      </c>
      <c r="BT613" s="2106"/>
      <c r="BU613" s="2106"/>
      <c r="BV613" s="2106"/>
      <c r="BW613" s="2106"/>
      <c r="BX613" s="2106">
        <f t="shared" si="6"/>
        <v>0</v>
      </c>
      <c r="BY613" s="2106"/>
      <c r="BZ613" s="2106"/>
      <c r="CA613" s="2106"/>
      <c r="CB613" s="2106"/>
      <c r="CC613" s="2106">
        <f t="shared" si="7"/>
        <v>52</v>
      </c>
      <c r="CD613" s="2106"/>
      <c r="CE613" s="2106"/>
      <c r="CF613" s="2106"/>
      <c r="CG613" s="2106"/>
      <c r="CH613" s="2106">
        <f t="shared" si="8"/>
        <v>0</v>
      </c>
      <c r="CI613" s="2106"/>
      <c r="CJ613" s="2106"/>
      <c r="CK613" s="2106"/>
      <c r="CL613" s="2106"/>
      <c r="CM613" s="2106">
        <f t="shared" si="9"/>
        <v>0</v>
      </c>
      <c r="CN613" s="2106"/>
      <c r="CO613" s="2106"/>
      <c r="CP613" s="2106"/>
      <c r="CQ613" s="2106"/>
      <c r="CR613" s="265"/>
      <c r="CS613" s="2303">
        <f t="shared" si="10"/>
        <v>0</v>
      </c>
      <c r="CT613" s="2303"/>
      <c r="CU613" s="2303"/>
      <c r="CV613" s="2303"/>
      <c r="CW613" s="2303"/>
      <c r="CX613" s="2303">
        <f t="shared" si="11"/>
        <v>0</v>
      </c>
      <c r="CY613" s="2303"/>
      <c r="CZ613" s="2303"/>
      <c r="DA613" s="2303"/>
      <c r="DB613" s="2303"/>
      <c r="DC613" s="2303">
        <f t="shared" si="12"/>
        <v>0</v>
      </c>
      <c r="DD613" s="2303"/>
      <c r="DE613" s="2303"/>
      <c r="DF613" s="2303"/>
      <c r="DG613" s="2303"/>
      <c r="DH613" s="2303">
        <f t="shared" si="13"/>
        <v>0</v>
      </c>
      <c r="DI613" s="2303"/>
      <c r="DJ613" s="2303"/>
      <c r="DK613" s="2303"/>
      <c r="DL613" s="2303"/>
      <c r="DM613" s="2303">
        <f t="shared" si="14"/>
        <v>0</v>
      </c>
      <c r="DN613" s="2303"/>
      <c r="DO613" s="2303"/>
      <c r="DP613" s="2303"/>
      <c r="DQ613" s="2303"/>
      <c r="DR613" s="2303">
        <f t="shared" si="15"/>
        <v>0</v>
      </c>
      <c r="DS613" s="2303"/>
      <c r="DT613" s="2303"/>
      <c r="DU613" s="2303"/>
      <c r="DV613" s="2303"/>
      <c r="DX613" s="2102" t="str">
        <f t="shared" si="16"/>
        <v xml:space="preserve"> </v>
      </c>
      <c r="DY613" s="2118"/>
      <c r="DZ613" s="2118"/>
      <c r="EA613" s="2118"/>
      <c r="EB613" s="2103"/>
      <c r="EC613" s="2102" t="str">
        <f t="shared" si="17"/>
        <v xml:space="preserve"> </v>
      </c>
      <c r="ED613" s="2118"/>
      <c r="EE613" s="2118"/>
      <c r="EF613" s="2118"/>
      <c r="EG613" s="2103"/>
      <c r="EH613" s="2102" t="str">
        <f t="shared" si="18"/>
        <v xml:space="preserve"> </v>
      </c>
      <c r="EI613" s="2118"/>
      <c r="EJ613" s="2118"/>
      <c r="EK613" s="2118"/>
      <c r="EL613" s="2103"/>
      <c r="EM613" s="2102">
        <f t="shared" si="19"/>
        <v>1929</v>
      </c>
      <c r="EN613" s="2118"/>
      <c r="EO613" s="2118"/>
      <c r="EP613" s="2118"/>
      <c r="EQ613" s="2103"/>
      <c r="ER613" s="2102" t="str">
        <f t="shared" si="20"/>
        <v xml:space="preserve"> </v>
      </c>
      <c r="ES613" s="2118"/>
      <c r="ET613" s="2118"/>
      <c r="EU613" s="2118"/>
      <c r="EV613" s="2103"/>
      <c r="EW613" s="2102" t="str">
        <f t="shared" si="21"/>
        <v xml:space="preserve"> </v>
      </c>
      <c r="EX613" s="2118"/>
      <c r="EY613" s="2118"/>
      <c r="EZ613" s="2118"/>
      <c r="FA613" s="2103"/>
    </row>
    <row r="614" spans="1:157" ht="13.2">
      <c r="A614" s="35"/>
      <c r="B614" s="12" t="s">
        <v>17</v>
      </c>
      <c r="G614" s="1955"/>
      <c r="H614" s="1955"/>
      <c r="I614" s="1955"/>
      <c r="J614" s="1955"/>
      <c r="K614" s="1955"/>
      <c r="L614" s="1955"/>
      <c r="M614" s="1955"/>
      <c r="N614" s="1955"/>
      <c r="O614" s="1955"/>
      <c r="P614" s="1955"/>
      <c r="Q614" s="1955"/>
      <c r="R614" s="1955"/>
      <c r="T614" s="35"/>
      <c r="U614" s="12" t="s">
        <v>17</v>
      </c>
      <c r="Z614" s="1960"/>
      <c r="AA614" s="1960"/>
      <c r="AB614" s="1960"/>
      <c r="AC614" s="1960"/>
      <c r="AD614" s="1960"/>
      <c r="AE614" s="1960"/>
      <c r="AF614" s="1960"/>
      <c r="AG614" s="1960"/>
      <c r="AH614" s="1960"/>
      <c r="AI614" s="1960"/>
      <c r="AJ614" s="1960"/>
      <c r="AK614" s="1960"/>
      <c r="BA614" s="7" t="s">
        <v>31</v>
      </c>
      <c r="BB614" s="58"/>
      <c r="BC614" s="58"/>
      <c r="BD614" s="58"/>
      <c r="BE614" s="2102">
        <f t="shared" si="0"/>
        <v>0</v>
      </c>
      <c r="BF614" s="2103"/>
      <c r="BG614" s="2104">
        <f t="shared" si="1"/>
        <v>0</v>
      </c>
      <c r="BH614" s="2105"/>
      <c r="BI614" s="2102">
        <f t="shared" si="2"/>
        <v>0</v>
      </c>
      <c r="BJ614" s="2103"/>
      <c r="BK614" s="2104">
        <f t="shared" si="3"/>
        <v>0</v>
      </c>
      <c r="BL614" s="2105"/>
      <c r="BM614" s="58"/>
      <c r="BN614" s="2099">
        <f t="shared" si="4"/>
        <v>0</v>
      </c>
      <c r="BO614" s="2100"/>
      <c r="BP614" s="2100"/>
      <c r="BQ614" s="2100"/>
      <c r="BR614" s="2101"/>
      <c r="BS614" s="2106">
        <f t="shared" si="5"/>
        <v>0</v>
      </c>
      <c r="BT614" s="2106"/>
      <c r="BU614" s="2106"/>
      <c r="BV614" s="2106"/>
      <c r="BW614" s="2106"/>
      <c r="BX614" s="2106">
        <f t="shared" si="6"/>
        <v>0</v>
      </c>
      <c r="BY614" s="2106"/>
      <c r="BZ614" s="2106"/>
      <c r="CA614" s="2106"/>
      <c r="CB614" s="2106"/>
      <c r="CC614" s="2106">
        <f t="shared" si="7"/>
        <v>49</v>
      </c>
      <c r="CD614" s="2106"/>
      <c r="CE614" s="2106"/>
      <c r="CF614" s="2106"/>
      <c r="CG614" s="2106"/>
      <c r="CH614" s="2106">
        <f t="shared" si="8"/>
        <v>0</v>
      </c>
      <c r="CI614" s="2106"/>
      <c r="CJ614" s="2106"/>
      <c r="CK614" s="2106"/>
      <c r="CL614" s="2106"/>
      <c r="CM614" s="2106">
        <f t="shared" si="9"/>
        <v>0</v>
      </c>
      <c r="CN614" s="2106"/>
      <c r="CO614" s="2106"/>
      <c r="CP614" s="2106"/>
      <c r="CQ614" s="2106"/>
      <c r="CR614" s="265"/>
      <c r="CS614" s="2303">
        <f t="shared" si="10"/>
        <v>0</v>
      </c>
      <c r="CT614" s="2303"/>
      <c r="CU614" s="2303"/>
      <c r="CV614" s="2303"/>
      <c r="CW614" s="2303"/>
      <c r="CX614" s="2303">
        <f t="shared" si="11"/>
        <v>0</v>
      </c>
      <c r="CY614" s="2303"/>
      <c r="CZ614" s="2303"/>
      <c r="DA614" s="2303"/>
      <c r="DB614" s="2303"/>
      <c r="DC614" s="2303">
        <f t="shared" si="12"/>
        <v>0</v>
      </c>
      <c r="DD614" s="2303"/>
      <c r="DE614" s="2303"/>
      <c r="DF614" s="2303"/>
      <c r="DG614" s="2303"/>
      <c r="DH614" s="2303">
        <f t="shared" si="13"/>
        <v>0</v>
      </c>
      <c r="DI614" s="2303"/>
      <c r="DJ614" s="2303"/>
      <c r="DK614" s="2303"/>
      <c r="DL614" s="2303"/>
      <c r="DM614" s="2303">
        <f t="shared" si="14"/>
        <v>0</v>
      </c>
      <c r="DN614" s="2303"/>
      <c r="DO614" s="2303"/>
      <c r="DP614" s="2303"/>
      <c r="DQ614" s="2303"/>
      <c r="DR614" s="2303">
        <f t="shared" si="15"/>
        <v>0</v>
      </c>
      <c r="DS614" s="2303"/>
      <c r="DT614" s="2303"/>
      <c r="DU614" s="2303"/>
      <c r="DV614" s="2303"/>
      <c r="DX614" s="2102" t="str">
        <f t="shared" si="16"/>
        <v xml:space="preserve"> </v>
      </c>
      <c r="DY614" s="2118"/>
      <c r="DZ614" s="2118"/>
      <c r="EA614" s="2118"/>
      <c r="EB614" s="2103"/>
      <c r="EC614" s="2102" t="str">
        <f t="shared" si="17"/>
        <v xml:space="preserve"> </v>
      </c>
      <c r="ED614" s="2118"/>
      <c r="EE614" s="2118"/>
      <c r="EF614" s="2118"/>
      <c r="EG614" s="2103"/>
      <c r="EH614" s="2102" t="str">
        <f t="shared" si="18"/>
        <v xml:space="preserve"> </v>
      </c>
      <c r="EI614" s="2118"/>
      <c r="EJ614" s="2118"/>
      <c r="EK614" s="2118"/>
      <c r="EL614" s="2103"/>
      <c r="EM614" s="2102">
        <f t="shared" si="19"/>
        <v>1634</v>
      </c>
      <c r="EN614" s="2118"/>
      <c r="EO614" s="2118"/>
      <c r="EP614" s="2118"/>
      <c r="EQ614" s="2103"/>
      <c r="ER614" s="2102" t="str">
        <f t="shared" si="20"/>
        <v xml:space="preserve"> </v>
      </c>
      <c r="ES614" s="2118"/>
      <c r="ET614" s="2118"/>
      <c r="EU614" s="2118"/>
      <c r="EV614" s="2103"/>
      <c r="EW614" s="2102" t="str">
        <f t="shared" si="21"/>
        <v xml:space="preserve"> </v>
      </c>
      <c r="EX614" s="2118"/>
      <c r="EY614" s="2118"/>
      <c r="EZ614" s="2118"/>
      <c r="FA614" s="2103"/>
    </row>
    <row r="615" spans="1:157" ht="13.2">
      <c r="A615" s="35"/>
      <c r="B615" s="12" t="s">
        <v>327</v>
      </c>
      <c r="G615" s="2022"/>
      <c r="H615" s="2022"/>
      <c r="I615" s="2022"/>
      <c r="J615" s="2022"/>
      <c r="K615" s="2022"/>
      <c r="L615" s="2022"/>
      <c r="O615" s="137" t="s">
        <v>212</v>
      </c>
      <c r="P615" s="2027"/>
      <c r="Q615" s="2027"/>
      <c r="R615" s="2027"/>
      <c r="T615" s="35"/>
      <c r="U615" s="12" t="s">
        <v>327</v>
      </c>
      <c r="Z615" s="2022"/>
      <c r="AA615" s="2022"/>
      <c r="AB615" s="2022"/>
      <c r="AC615" s="2022"/>
      <c r="AD615" s="2022"/>
      <c r="AE615" s="2022"/>
      <c r="AH615" s="137" t="s">
        <v>212</v>
      </c>
      <c r="AI615" s="2027"/>
      <c r="AJ615" s="2027"/>
      <c r="AK615" s="2027"/>
      <c r="AZ615" s="58"/>
      <c r="BA615" s="58"/>
      <c r="BB615" s="58"/>
      <c r="BC615" s="58"/>
      <c r="BD615" s="58"/>
      <c r="BE615" s="2102">
        <f t="shared" si="0"/>
        <v>1</v>
      </c>
      <c r="BF615" s="2103"/>
      <c r="BG615" s="2104">
        <f t="shared" si="1"/>
        <v>13</v>
      </c>
      <c r="BH615" s="2105"/>
      <c r="BI615" s="2102">
        <f t="shared" si="2"/>
        <v>0</v>
      </c>
      <c r="BJ615" s="2103"/>
      <c r="BK615" s="2104">
        <f t="shared" si="3"/>
        <v>0</v>
      </c>
      <c r="BL615" s="2105"/>
      <c r="BM615" s="58"/>
      <c r="BN615" s="2099">
        <f t="shared" si="4"/>
        <v>0</v>
      </c>
      <c r="BO615" s="2100"/>
      <c r="BP615" s="2100"/>
      <c r="BQ615" s="2100"/>
      <c r="BR615" s="2101"/>
      <c r="BS615" s="2106">
        <f t="shared" si="5"/>
        <v>0</v>
      </c>
      <c r="BT615" s="2106"/>
      <c r="BU615" s="2106"/>
      <c r="BV615" s="2106"/>
      <c r="BW615" s="2106"/>
      <c r="BX615" s="2106">
        <f t="shared" si="6"/>
        <v>0</v>
      </c>
      <c r="BY615" s="2106"/>
      <c r="BZ615" s="2106"/>
      <c r="CA615" s="2106"/>
      <c r="CB615" s="2106"/>
      <c r="CC615" s="2106">
        <f t="shared" si="7"/>
        <v>13</v>
      </c>
      <c r="CD615" s="2106"/>
      <c r="CE615" s="2106"/>
      <c r="CF615" s="2106"/>
      <c r="CG615" s="2106"/>
      <c r="CH615" s="2106">
        <f t="shared" si="8"/>
        <v>0</v>
      </c>
      <c r="CI615" s="2106"/>
      <c r="CJ615" s="2106"/>
      <c r="CK615" s="2106"/>
      <c r="CL615" s="2106"/>
      <c r="CM615" s="2106">
        <f t="shared" si="9"/>
        <v>0</v>
      </c>
      <c r="CN615" s="2106"/>
      <c r="CO615" s="2106"/>
      <c r="CP615" s="2106"/>
      <c r="CQ615" s="2106"/>
      <c r="CR615" s="265"/>
      <c r="CS615" s="2303">
        <f t="shared" si="10"/>
        <v>0</v>
      </c>
      <c r="CT615" s="2303"/>
      <c r="CU615" s="2303"/>
      <c r="CV615" s="2303"/>
      <c r="CW615" s="2303"/>
      <c r="CX615" s="2303">
        <f t="shared" si="11"/>
        <v>0</v>
      </c>
      <c r="CY615" s="2303"/>
      <c r="CZ615" s="2303"/>
      <c r="DA615" s="2303"/>
      <c r="DB615" s="2303"/>
      <c r="DC615" s="2303">
        <f t="shared" si="12"/>
        <v>0</v>
      </c>
      <c r="DD615" s="2303"/>
      <c r="DE615" s="2303"/>
      <c r="DF615" s="2303"/>
      <c r="DG615" s="2303"/>
      <c r="DH615" s="2303">
        <f t="shared" si="13"/>
        <v>0</v>
      </c>
      <c r="DI615" s="2303"/>
      <c r="DJ615" s="2303"/>
      <c r="DK615" s="2303"/>
      <c r="DL615" s="2303"/>
      <c r="DM615" s="2303">
        <f t="shared" si="14"/>
        <v>0</v>
      </c>
      <c r="DN615" s="2303"/>
      <c r="DO615" s="2303"/>
      <c r="DP615" s="2303"/>
      <c r="DQ615" s="2303"/>
      <c r="DR615" s="2303">
        <f t="shared" si="15"/>
        <v>0</v>
      </c>
      <c r="DS615" s="2303"/>
      <c r="DT615" s="2303"/>
      <c r="DU615" s="2303"/>
      <c r="DV615" s="2303"/>
      <c r="DX615" s="2102" t="str">
        <f t="shared" si="16"/>
        <v xml:space="preserve"> </v>
      </c>
      <c r="DY615" s="2118"/>
      <c r="DZ615" s="2118"/>
      <c r="EA615" s="2118"/>
      <c r="EB615" s="2103"/>
      <c r="EC615" s="2102" t="str">
        <f t="shared" si="17"/>
        <v xml:space="preserve"> </v>
      </c>
      <c r="ED615" s="2118"/>
      <c r="EE615" s="2118"/>
      <c r="EF615" s="2118"/>
      <c r="EG615" s="2103"/>
      <c r="EH615" s="2102" t="str">
        <f t="shared" si="18"/>
        <v xml:space="preserve"> </v>
      </c>
      <c r="EI615" s="2118"/>
      <c r="EJ615" s="2118"/>
      <c r="EK615" s="2118"/>
      <c r="EL615" s="2103"/>
      <c r="EM615" s="2102">
        <f t="shared" si="19"/>
        <v>1338</v>
      </c>
      <c r="EN615" s="2118"/>
      <c r="EO615" s="2118"/>
      <c r="EP615" s="2118"/>
      <c r="EQ615" s="2103"/>
      <c r="ER615" s="2102" t="str">
        <f t="shared" si="20"/>
        <v xml:space="preserve"> </v>
      </c>
      <c r="ES615" s="2118"/>
      <c r="ET615" s="2118"/>
      <c r="EU615" s="2118"/>
      <c r="EV615" s="2103"/>
      <c r="EW615" s="2102" t="str">
        <f t="shared" si="21"/>
        <v xml:space="preserve"> </v>
      </c>
      <c r="EX615" s="2118"/>
      <c r="EY615" s="2118"/>
      <c r="EZ615" s="2118"/>
      <c r="FA615" s="2103"/>
    </row>
    <row r="616" spans="1:157" ht="13.2">
      <c r="A616" s="35"/>
      <c r="B616" s="12" t="s">
        <v>18</v>
      </c>
      <c r="H616" s="1955"/>
      <c r="I616" s="1955"/>
      <c r="J616" s="1955"/>
      <c r="K616" s="1955"/>
      <c r="L616" s="1955"/>
      <c r="M616" s="1955"/>
      <c r="N616" s="1955"/>
      <c r="O616" s="1955"/>
      <c r="P616" s="1955"/>
      <c r="Q616" s="1955"/>
      <c r="R616" s="1955"/>
      <c r="T616" s="35"/>
      <c r="U616" s="12" t="s">
        <v>18</v>
      </c>
      <c r="AA616" s="1955"/>
      <c r="AB616" s="1955"/>
      <c r="AC616" s="1955"/>
      <c r="AD616" s="1955"/>
      <c r="AE616" s="1955"/>
      <c r="AF616" s="1955"/>
      <c r="AG616" s="1955"/>
      <c r="AH616" s="1955"/>
      <c r="AI616" s="1955"/>
      <c r="AJ616" s="1955"/>
      <c r="AK616" s="1955"/>
      <c r="AZ616" s="58"/>
      <c r="BA616" s="58"/>
      <c r="BB616" s="58"/>
      <c r="BC616" s="58"/>
      <c r="BD616" s="58"/>
      <c r="BE616" s="2102">
        <f t="shared" si="0"/>
        <v>0</v>
      </c>
      <c r="BF616" s="2103"/>
      <c r="BG616" s="2104">
        <f t="shared" si="1"/>
        <v>0</v>
      </c>
      <c r="BH616" s="2105"/>
      <c r="BI616" s="2102">
        <f t="shared" si="2"/>
        <v>1</v>
      </c>
      <c r="BJ616" s="2103"/>
      <c r="BK616" s="2104">
        <f t="shared" si="3"/>
        <v>13</v>
      </c>
      <c r="BL616" s="2105"/>
      <c r="BM616" s="58"/>
      <c r="BN616" s="2099">
        <f t="shared" si="4"/>
        <v>0</v>
      </c>
      <c r="BO616" s="2100"/>
      <c r="BP616" s="2100"/>
      <c r="BQ616" s="2100"/>
      <c r="BR616" s="2101"/>
      <c r="BS616" s="2106">
        <f t="shared" si="5"/>
        <v>0</v>
      </c>
      <c r="BT616" s="2106"/>
      <c r="BU616" s="2106"/>
      <c r="BV616" s="2106"/>
      <c r="BW616" s="2106"/>
      <c r="BX616" s="2106">
        <f t="shared" si="6"/>
        <v>0</v>
      </c>
      <c r="BY616" s="2106"/>
      <c r="BZ616" s="2106"/>
      <c r="CA616" s="2106"/>
      <c r="CB616" s="2106"/>
      <c r="CC616" s="2106">
        <f t="shared" si="7"/>
        <v>13</v>
      </c>
      <c r="CD616" s="2106"/>
      <c r="CE616" s="2106"/>
      <c r="CF616" s="2106"/>
      <c r="CG616" s="2106"/>
      <c r="CH616" s="2106">
        <f t="shared" si="8"/>
        <v>0</v>
      </c>
      <c r="CI616" s="2106"/>
      <c r="CJ616" s="2106"/>
      <c r="CK616" s="2106"/>
      <c r="CL616" s="2106"/>
      <c r="CM616" s="2106">
        <f t="shared" si="9"/>
        <v>0</v>
      </c>
      <c r="CN616" s="2106"/>
      <c r="CO616" s="2106"/>
      <c r="CP616" s="2106"/>
      <c r="CQ616" s="2106"/>
      <c r="CR616" s="265"/>
      <c r="CS616" s="2303">
        <f t="shared" si="10"/>
        <v>0</v>
      </c>
      <c r="CT616" s="2303"/>
      <c r="CU616" s="2303"/>
      <c r="CV616" s="2303"/>
      <c r="CW616" s="2303"/>
      <c r="CX616" s="2303">
        <f t="shared" si="11"/>
        <v>0</v>
      </c>
      <c r="CY616" s="2303"/>
      <c r="CZ616" s="2303"/>
      <c r="DA616" s="2303"/>
      <c r="DB616" s="2303"/>
      <c r="DC616" s="2303">
        <f t="shared" si="12"/>
        <v>0</v>
      </c>
      <c r="DD616" s="2303"/>
      <c r="DE616" s="2303"/>
      <c r="DF616" s="2303"/>
      <c r="DG616" s="2303"/>
      <c r="DH616" s="2303">
        <f t="shared" si="13"/>
        <v>13</v>
      </c>
      <c r="DI616" s="2303"/>
      <c r="DJ616" s="2303"/>
      <c r="DK616" s="2303"/>
      <c r="DL616" s="2303"/>
      <c r="DM616" s="2303">
        <f t="shared" si="14"/>
        <v>0</v>
      </c>
      <c r="DN616" s="2303"/>
      <c r="DO616" s="2303"/>
      <c r="DP616" s="2303"/>
      <c r="DQ616" s="2303"/>
      <c r="DR616" s="2303">
        <f t="shared" si="15"/>
        <v>0</v>
      </c>
      <c r="DS616" s="2303"/>
      <c r="DT616" s="2303"/>
      <c r="DU616" s="2303"/>
      <c r="DV616" s="2303"/>
      <c r="DX616" s="2102" t="str">
        <f t="shared" si="16"/>
        <v xml:space="preserve"> </v>
      </c>
      <c r="DY616" s="2118"/>
      <c r="DZ616" s="2118"/>
      <c r="EA616" s="2118"/>
      <c r="EB616" s="2103"/>
      <c r="EC616" s="2102" t="str">
        <f t="shared" si="17"/>
        <v xml:space="preserve"> </v>
      </c>
      <c r="ED616" s="2118"/>
      <c r="EE616" s="2118"/>
      <c r="EF616" s="2118"/>
      <c r="EG616" s="2103"/>
      <c r="EH616" s="2102" t="str">
        <f t="shared" si="18"/>
        <v xml:space="preserve"> </v>
      </c>
      <c r="EI616" s="2118"/>
      <c r="EJ616" s="2118"/>
      <c r="EK616" s="2118"/>
      <c r="EL616" s="2103"/>
      <c r="EM616" s="2102">
        <f t="shared" si="19"/>
        <v>748</v>
      </c>
      <c r="EN616" s="2118"/>
      <c r="EO616" s="2118"/>
      <c r="EP616" s="2118"/>
      <c r="EQ616" s="2103"/>
      <c r="ER616" s="2102" t="str">
        <f t="shared" si="20"/>
        <v xml:space="preserve"> </v>
      </c>
      <c r="ES616" s="2118"/>
      <c r="ET616" s="2118"/>
      <c r="EU616" s="2118"/>
      <c r="EV616" s="2103"/>
      <c r="EW616" s="2102" t="str">
        <f t="shared" si="21"/>
        <v xml:space="preserve"> </v>
      </c>
      <c r="EX616" s="2118"/>
      <c r="EY616" s="2118"/>
      <c r="EZ616" s="2118"/>
      <c r="FA616" s="2103"/>
    </row>
    <row r="617" spans="1:157" ht="13.2">
      <c r="A617" s="35"/>
      <c r="B617" s="12" t="s">
        <v>20</v>
      </c>
      <c r="N617" s="1961" t="s">
        <v>707</v>
      </c>
      <c r="O617" s="1961"/>
      <c r="T617" s="35"/>
      <c r="U617" s="12" t="s">
        <v>20</v>
      </c>
      <c r="AG617" s="1961" t="s">
        <v>707</v>
      </c>
      <c r="AH617" s="1961"/>
      <c r="AZ617" s="58"/>
      <c r="BA617" s="58"/>
      <c r="BB617" s="58"/>
      <c r="BC617" s="58"/>
      <c r="BD617" s="58"/>
      <c r="BE617" s="2102">
        <f t="shared" si="0"/>
        <v>0</v>
      </c>
      <c r="BF617" s="2103"/>
      <c r="BG617" s="2104">
        <f t="shared" si="1"/>
        <v>0</v>
      </c>
      <c r="BH617" s="2105"/>
      <c r="BI617" s="2102">
        <f t="shared" si="2"/>
        <v>0</v>
      </c>
      <c r="BJ617" s="2103"/>
      <c r="BK617" s="2104">
        <f t="shared" si="3"/>
        <v>0</v>
      </c>
      <c r="BL617" s="2105"/>
      <c r="BM617" s="58"/>
      <c r="BN617" s="2099">
        <f t="shared" si="4"/>
        <v>0</v>
      </c>
      <c r="BO617" s="2100"/>
      <c r="BP617" s="2100"/>
      <c r="BQ617" s="2100"/>
      <c r="BR617" s="2101"/>
      <c r="BS617" s="2106">
        <f t="shared" si="5"/>
        <v>0</v>
      </c>
      <c r="BT617" s="2106"/>
      <c r="BU617" s="2106"/>
      <c r="BV617" s="2106"/>
      <c r="BW617" s="2106"/>
      <c r="BX617" s="2106">
        <f t="shared" si="6"/>
        <v>0</v>
      </c>
      <c r="BY617" s="2106"/>
      <c r="BZ617" s="2106"/>
      <c r="CA617" s="2106"/>
      <c r="CB617" s="2106"/>
      <c r="CC617" s="2106">
        <f t="shared" si="7"/>
        <v>0</v>
      </c>
      <c r="CD617" s="2106"/>
      <c r="CE617" s="2106"/>
      <c r="CF617" s="2106"/>
      <c r="CG617" s="2106"/>
      <c r="CH617" s="2106">
        <f t="shared" si="8"/>
        <v>0</v>
      </c>
      <c r="CI617" s="2106"/>
      <c r="CJ617" s="2106"/>
      <c r="CK617" s="2106"/>
      <c r="CL617" s="2106"/>
      <c r="CM617" s="2106">
        <f t="shared" si="9"/>
        <v>0</v>
      </c>
      <c r="CN617" s="2106"/>
      <c r="CO617" s="2106"/>
      <c r="CP617" s="2106"/>
      <c r="CQ617" s="2106"/>
      <c r="CR617" s="265"/>
      <c r="CS617" s="2303">
        <f t="shared" si="10"/>
        <v>0</v>
      </c>
      <c r="CT617" s="2303"/>
      <c r="CU617" s="2303"/>
      <c r="CV617" s="2303"/>
      <c r="CW617" s="2303"/>
      <c r="CX617" s="2303">
        <f t="shared" si="11"/>
        <v>0</v>
      </c>
      <c r="CY617" s="2303"/>
      <c r="CZ617" s="2303"/>
      <c r="DA617" s="2303"/>
      <c r="DB617" s="2303"/>
      <c r="DC617" s="2303">
        <f t="shared" si="12"/>
        <v>0</v>
      </c>
      <c r="DD617" s="2303"/>
      <c r="DE617" s="2303"/>
      <c r="DF617" s="2303"/>
      <c r="DG617" s="2303"/>
      <c r="DH617" s="2303">
        <f t="shared" si="13"/>
        <v>0</v>
      </c>
      <c r="DI617" s="2303"/>
      <c r="DJ617" s="2303"/>
      <c r="DK617" s="2303"/>
      <c r="DL617" s="2303"/>
      <c r="DM617" s="2303">
        <f t="shared" si="14"/>
        <v>0</v>
      </c>
      <c r="DN617" s="2303"/>
      <c r="DO617" s="2303"/>
      <c r="DP617" s="2303"/>
      <c r="DQ617" s="2303"/>
      <c r="DR617" s="2303">
        <f t="shared" si="15"/>
        <v>0</v>
      </c>
      <c r="DS617" s="2303"/>
      <c r="DT617" s="2303"/>
      <c r="DU617" s="2303"/>
      <c r="DV617" s="2303"/>
      <c r="DX617" s="2102" t="str">
        <f t="shared" si="16"/>
        <v xml:space="preserve"> </v>
      </c>
      <c r="DY617" s="2118"/>
      <c r="DZ617" s="2118"/>
      <c r="EA617" s="2118"/>
      <c r="EB617" s="2103"/>
      <c r="EC617" s="2102" t="str">
        <f t="shared" si="17"/>
        <v xml:space="preserve"> </v>
      </c>
      <c r="ED617" s="2118"/>
      <c r="EE617" s="2118"/>
      <c r="EF617" s="2118"/>
      <c r="EG617" s="2103"/>
      <c r="EH617" s="2102" t="str">
        <f t="shared" si="18"/>
        <v xml:space="preserve"> </v>
      </c>
      <c r="EI617" s="2118"/>
      <c r="EJ617" s="2118"/>
      <c r="EK617" s="2118"/>
      <c r="EL617" s="2103"/>
      <c r="EM617" s="2102" t="str">
        <f t="shared" si="19"/>
        <v xml:space="preserve"> </v>
      </c>
      <c r="EN617" s="2118"/>
      <c r="EO617" s="2118"/>
      <c r="EP617" s="2118"/>
      <c r="EQ617" s="2103"/>
      <c r="ER617" s="2102" t="str">
        <f t="shared" si="20"/>
        <v xml:space="preserve"> </v>
      </c>
      <c r="ES617" s="2118"/>
      <c r="ET617" s="2118"/>
      <c r="EU617" s="2118"/>
      <c r="EV617" s="2103"/>
      <c r="EW617" s="2102" t="str">
        <f t="shared" si="21"/>
        <v xml:space="preserve"> </v>
      </c>
      <c r="EX617" s="2118"/>
      <c r="EY617" s="2118"/>
      <c r="EZ617" s="2118"/>
      <c r="FA617" s="2103"/>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102">
        <f t="shared" si="0"/>
        <v>0</v>
      </c>
      <c r="BF618" s="2103"/>
      <c r="BG618" s="2104">
        <f t="shared" si="1"/>
        <v>0</v>
      </c>
      <c r="BH618" s="2105"/>
      <c r="BI618" s="2102">
        <f t="shared" si="2"/>
        <v>0</v>
      </c>
      <c r="BJ618" s="2103"/>
      <c r="BK618" s="2104">
        <f t="shared" si="3"/>
        <v>0</v>
      </c>
      <c r="BL618" s="2105"/>
      <c r="BM618" s="58"/>
      <c r="BN618" s="2099">
        <f t="shared" si="4"/>
        <v>0</v>
      </c>
      <c r="BO618" s="2100"/>
      <c r="BP618" s="2100"/>
      <c r="BQ618" s="2100"/>
      <c r="BR618" s="2101"/>
      <c r="BS618" s="2106">
        <f t="shared" si="5"/>
        <v>0</v>
      </c>
      <c r="BT618" s="2106"/>
      <c r="BU618" s="2106"/>
      <c r="BV618" s="2106"/>
      <c r="BW618" s="2106"/>
      <c r="BX618" s="2106">
        <f t="shared" si="6"/>
        <v>0</v>
      </c>
      <c r="BY618" s="2106"/>
      <c r="BZ618" s="2106"/>
      <c r="CA618" s="2106"/>
      <c r="CB618" s="2106"/>
      <c r="CC618" s="2106">
        <f t="shared" si="7"/>
        <v>0</v>
      </c>
      <c r="CD618" s="2106"/>
      <c r="CE618" s="2106"/>
      <c r="CF618" s="2106"/>
      <c r="CG618" s="2106"/>
      <c r="CH618" s="2106">
        <f t="shared" si="8"/>
        <v>0</v>
      </c>
      <c r="CI618" s="2106"/>
      <c r="CJ618" s="2106"/>
      <c r="CK618" s="2106"/>
      <c r="CL618" s="2106"/>
      <c r="CM618" s="2106">
        <f t="shared" si="9"/>
        <v>0</v>
      </c>
      <c r="CN618" s="2106"/>
      <c r="CO618" s="2106"/>
      <c r="CP618" s="2106"/>
      <c r="CQ618" s="2106"/>
      <c r="CR618" s="265"/>
      <c r="CS618" s="2303">
        <f t="shared" si="10"/>
        <v>0</v>
      </c>
      <c r="CT618" s="2303"/>
      <c r="CU618" s="2303"/>
      <c r="CV618" s="2303"/>
      <c r="CW618" s="2303"/>
      <c r="CX618" s="2303">
        <f t="shared" si="11"/>
        <v>0</v>
      </c>
      <c r="CY618" s="2303"/>
      <c r="CZ618" s="2303"/>
      <c r="DA618" s="2303"/>
      <c r="DB618" s="2303"/>
      <c r="DC618" s="2303">
        <f t="shared" si="12"/>
        <v>0</v>
      </c>
      <c r="DD618" s="2303"/>
      <c r="DE618" s="2303"/>
      <c r="DF618" s="2303"/>
      <c r="DG618" s="2303"/>
      <c r="DH618" s="2303">
        <f t="shared" si="13"/>
        <v>0</v>
      </c>
      <c r="DI618" s="2303"/>
      <c r="DJ618" s="2303"/>
      <c r="DK618" s="2303"/>
      <c r="DL618" s="2303"/>
      <c r="DM618" s="2303">
        <f t="shared" si="14"/>
        <v>0</v>
      </c>
      <c r="DN618" s="2303"/>
      <c r="DO618" s="2303"/>
      <c r="DP618" s="2303"/>
      <c r="DQ618" s="2303"/>
      <c r="DR618" s="2303">
        <f t="shared" si="15"/>
        <v>0</v>
      </c>
      <c r="DS618" s="2303"/>
      <c r="DT618" s="2303"/>
      <c r="DU618" s="2303"/>
      <c r="DV618" s="2303"/>
      <c r="DX618" s="2102" t="str">
        <f t="shared" si="16"/>
        <v xml:space="preserve"> </v>
      </c>
      <c r="DY618" s="2118"/>
      <c r="DZ618" s="2118"/>
      <c r="EA618" s="2118"/>
      <c r="EB618" s="2103"/>
      <c r="EC618" s="2102" t="str">
        <f t="shared" si="17"/>
        <v xml:space="preserve"> </v>
      </c>
      <c r="ED618" s="2118"/>
      <c r="EE618" s="2118"/>
      <c r="EF618" s="2118"/>
      <c r="EG618" s="2103"/>
      <c r="EH618" s="2102" t="str">
        <f t="shared" si="18"/>
        <v xml:space="preserve"> </v>
      </c>
      <c r="EI618" s="2118"/>
      <c r="EJ618" s="2118"/>
      <c r="EK618" s="2118"/>
      <c r="EL618" s="2103"/>
      <c r="EM618" s="2102" t="str">
        <f t="shared" si="19"/>
        <v xml:space="preserve"> </v>
      </c>
      <c r="EN618" s="2118"/>
      <c r="EO618" s="2118"/>
      <c r="EP618" s="2118"/>
      <c r="EQ618" s="2103"/>
      <c r="ER618" s="2102" t="str">
        <f t="shared" si="20"/>
        <v xml:space="preserve"> </v>
      </c>
      <c r="ES618" s="2118"/>
      <c r="ET618" s="2118"/>
      <c r="EU618" s="2118"/>
      <c r="EV618" s="2103"/>
      <c r="EW618" s="2102" t="str">
        <f t="shared" si="21"/>
        <v xml:space="preserve"> </v>
      </c>
      <c r="EX618" s="2118"/>
      <c r="EY618" s="2118"/>
      <c r="EZ618" s="2118"/>
      <c r="FA618" s="2103"/>
    </row>
    <row r="619" spans="1:157" s="7" customFormat="1" ht="13.2">
      <c r="A619" s="87" t="s">
        <v>374</v>
      </c>
      <c r="B619" s="12" t="s">
        <v>497</v>
      </c>
      <c r="C619" s="12"/>
      <c r="D619" s="12"/>
      <c r="E619" s="12"/>
      <c r="F619" s="12"/>
      <c r="G619" s="2072">
        <f>C574</f>
        <v>0</v>
      </c>
      <c r="H619" s="2072"/>
      <c r="I619" s="2072"/>
      <c r="J619" s="2072"/>
      <c r="K619" s="2072"/>
      <c r="L619" s="2072"/>
      <c r="M619" s="2072"/>
      <c r="N619" s="2072"/>
      <c r="O619" s="2072"/>
      <c r="P619" s="2072"/>
      <c r="Q619" s="2072"/>
      <c r="R619" s="2072"/>
      <c r="S619" s="12"/>
      <c r="T619" s="87" t="s">
        <v>375</v>
      </c>
      <c r="U619" s="12" t="s">
        <v>497</v>
      </c>
      <c r="V619" s="12"/>
      <c r="W619" s="12"/>
      <c r="X619" s="12"/>
      <c r="Y619" s="12"/>
      <c r="Z619" s="2072">
        <f>C575</f>
        <v>0</v>
      </c>
      <c r="AA619" s="2072"/>
      <c r="AB619" s="2072"/>
      <c r="AC619" s="2072"/>
      <c r="AD619" s="2072"/>
      <c r="AE619" s="2072"/>
      <c r="AF619" s="2072"/>
      <c r="AG619" s="2072"/>
      <c r="AH619" s="2072"/>
      <c r="AI619" s="2072"/>
      <c r="AJ619" s="2072"/>
      <c r="AK619" s="2072"/>
      <c r="AL619" s="12"/>
      <c r="AM619" s="39"/>
      <c r="AN619" s="39"/>
      <c r="AO619" s="39"/>
      <c r="AP619" s="39"/>
      <c r="AQ619" s="39"/>
      <c r="AR619" s="39"/>
      <c r="AS619" s="39"/>
      <c r="AT619" s="39"/>
      <c r="AU619" s="39"/>
      <c r="AV619" s="39"/>
      <c r="AW619" s="39"/>
      <c r="AX619" s="39"/>
      <c r="AY619" s="39"/>
      <c r="AZ619" s="58"/>
      <c r="BA619" s="58"/>
      <c r="BB619" s="58"/>
      <c r="BC619" s="58"/>
      <c r="BD619" s="58"/>
      <c r="BE619" s="2102">
        <f t="shared" si="0"/>
        <v>0</v>
      </c>
      <c r="BF619" s="2103"/>
      <c r="BG619" s="2104">
        <f t="shared" si="1"/>
        <v>0</v>
      </c>
      <c r="BH619" s="2105"/>
      <c r="BI619" s="2102">
        <f t="shared" si="2"/>
        <v>0</v>
      </c>
      <c r="BJ619" s="2103"/>
      <c r="BK619" s="2104">
        <f t="shared" si="3"/>
        <v>0</v>
      </c>
      <c r="BL619" s="2105"/>
      <c r="BM619" s="58"/>
      <c r="BN619" s="2099">
        <f t="shared" si="4"/>
        <v>0</v>
      </c>
      <c r="BO619" s="2100"/>
      <c r="BP619" s="2100"/>
      <c r="BQ619" s="2100"/>
      <c r="BR619" s="2101"/>
      <c r="BS619" s="2106">
        <f t="shared" si="5"/>
        <v>0</v>
      </c>
      <c r="BT619" s="2106"/>
      <c r="BU619" s="2106"/>
      <c r="BV619" s="2106"/>
      <c r="BW619" s="2106"/>
      <c r="BX619" s="2106">
        <f t="shared" si="6"/>
        <v>0</v>
      </c>
      <c r="BY619" s="2106"/>
      <c r="BZ619" s="2106"/>
      <c r="CA619" s="2106"/>
      <c r="CB619" s="2106"/>
      <c r="CC619" s="2106">
        <f t="shared" si="7"/>
        <v>0</v>
      </c>
      <c r="CD619" s="2106"/>
      <c r="CE619" s="2106"/>
      <c r="CF619" s="2106"/>
      <c r="CG619" s="2106"/>
      <c r="CH619" s="2106">
        <f t="shared" si="8"/>
        <v>0</v>
      </c>
      <c r="CI619" s="2106"/>
      <c r="CJ619" s="2106"/>
      <c r="CK619" s="2106"/>
      <c r="CL619" s="2106"/>
      <c r="CM619" s="2106">
        <f t="shared" si="9"/>
        <v>0</v>
      </c>
      <c r="CN619" s="2106"/>
      <c r="CO619" s="2106"/>
      <c r="CP619" s="2106"/>
      <c r="CQ619" s="2106"/>
      <c r="CR619" s="265"/>
      <c r="CS619" s="2303">
        <f t="shared" si="10"/>
        <v>0</v>
      </c>
      <c r="CT619" s="2303"/>
      <c r="CU619" s="2303"/>
      <c r="CV619" s="2303"/>
      <c r="CW619" s="2303"/>
      <c r="CX619" s="2303">
        <f t="shared" si="11"/>
        <v>0</v>
      </c>
      <c r="CY619" s="2303"/>
      <c r="CZ619" s="2303"/>
      <c r="DA619" s="2303"/>
      <c r="DB619" s="2303"/>
      <c r="DC619" s="2303">
        <f t="shared" si="12"/>
        <v>0</v>
      </c>
      <c r="DD619" s="2303"/>
      <c r="DE619" s="2303"/>
      <c r="DF619" s="2303"/>
      <c r="DG619" s="2303"/>
      <c r="DH619" s="2303">
        <f t="shared" si="13"/>
        <v>0</v>
      </c>
      <c r="DI619" s="2303"/>
      <c r="DJ619" s="2303"/>
      <c r="DK619" s="2303"/>
      <c r="DL619" s="2303"/>
      <c r="DM619" s="2303">
        <f t="shared" si="14"/>
        <v>0</v>
      </c>
      <c r="DN619" s="2303"/>
      <c r="DO619" s="2303"/>
      <c r="DP619" s="2303"/>
      <c r="DQ619" s="2303"/>
      <c r="DR619" s="2303">
        <f t="shared" si="15"/>
        <v>0</v>
      </c>
      <c r="DS619" s="2303"/>
      <c r="DT619" s="2303"/>
      <c r="DU619" s="2303"/>
      <c r="DV619" s="2303"/>
      <c r="DX619" s="2102" t="str">
        <f t="shared" si="16"/>
        <v xml:space="preserve"> </v>
      </c>
      <c r="DY619" s="2118"/>
      <c r="DZ619" s="2118"/>
      <c r="EA619" s="2118"/>
      <c r="EB619" s="2103"/>
      <c r="EC619" s="2102" t="str">
        <f t="shared" si="17"/>
        <v xml:space="preserve"> </v>
      </c>
      <c r="ED619" s="2118"/>
      <c r="EE619" s="2118"/>
      <c r="EF619" s="2118"/>
      <c r="EG619" s="2103"/>
      <c r="EH619" s="2102" t="str">
        <f t="shared" si="18"/>
        <v xml:space="preserve"> </v>
      </c>
      <c r="EI619" s="2118"/>
      <c r="EJ619" s="2118"/>
      <c r="EK619" s="2118"/>
      <c r="EL619" s="2103"/>
      <c r="EM619" s="2102" t="str">
        <f t="shared" si="19"/>
        <v xml:space="preserve"> </v>
      </c>
      <c r="EN619" s="2118"/>
      <c r="EO619" s="2118"/>
      <c r="EP619" s="2118"/>
      <c r="EQ619" s="2103"/>
      <c r="ER619" s="2102" t="str">
        <f t="shared" si="20"/>
        <v xml:space="preserve"> </v>
      </c>
      <c r="ES619" s="2118"/>
      <c r="ET619" s="2118"/>
      <c r="EU619" s="2118"/>
      <c r="EV619" s="2103"/>
      <c r="EW619" s="2102" t="str">
        <f t="shared" si="21"/>
        <v xml:space="preserve"> </v>
      </c>
      <c r="EX619" s="2118"/>
      <c r="EY619" s="2118"/>
      <c r="EZ619" s="2118"/>
      <c r="FA619" s="2103"/>
    </row>
    <row r="620" spans="1:157" s="7" customFormat="1" ht="13.2">
      <c r="A620" s="12"/>
      <c r="B620" s="12" t="s">
        <v>90</v>
      </c>
      <c r="C620" s="12"/>
      <c r="D620" s="12"/>
      <c r="E620" s="12"/>
      <c r="F620" s="12"/>
      <c r="G620" s="1955"/>
      <c r="H620" s="1955"/>
      <c r="I620" s="1955"/>
      <c r="J620" s="1955"/>
      <c r="K620" s="1955"/>
      <c r="L620" s="1955"/>
      <c r="M620" s="1955"/>
      <c r="N620" s="1955"/>
      <c r="O620" s="1955"/>
      <c r="P620" s="1955"/>
      <c r="Q620" s="1955"/>
      <c r="R620" s="1955"/>
      <c r="S620" s="12"/>
      <c r="T620" s="12"/>
      <c r="U620" s="12" t="s">
        <v>90</v>
      </c>
      <c r="V620" s="12"/>
      <c r="W620" s="12"/>
      <c r="X620" s="12"/>
      <c r="Y620" s="12"/>
      <c r="Z620" s="1955"/>
      <c r="AA620" s="1955"/>
      <c r="AB620" s="1955"/>
      <c r="AC620" s="1955"/>
      <c r="AD620" s="1955"/>
      <c r="AE620" s="1955"/>
      <c r="AF620" s="1955"/>
      <c r="AG620" s="1955"/>
      <c r="AH620" s="1955"/>
      <c r="AI620" s="1955"/>
      <c r="AJ620" s="1955"/>
      <c r="AK620" s="1955"/>
      <c r="AL620" s="12"/>
      <c r="AM620" s="39"/>
      <c r="AN620" s="39"/>
      <c r="AO620" s="39"/>
      <c r="AP620" s="39"/>
      <c r="AQ620" s="39"/>
      <c r="AR620" s="39"/>
      <c r="AS620" s="39"/>
      <c r="AT620" s="39"/>
      <c r="AU620" s="39"/>
      <c r="AV620" s="39"/>
      <c r="AW620" s="39"/>
      <c r="AX620" s="39"/>
      <c r="AY620" s="39"/>
      <c r="AZ620" s="58"/>
      <c r="BA620" s="58"/>
      <c r="BB620" s="58"/>
      <c r="BC620" s="58"/>
      <c r="BD620" s="58"/>
      <c r="BE620" s="2102">
        <f t="shared" si="0"/>
        <v>0</v>
      </c>
      <c r="BF620" s="2103"/>
      <c r="BG620" s="2104">
        <f t="shared" si="1"/>
        <v>0</v>
      </c>
      <c r="BH620" s="2105"/>
      <c r="BI620" s="2102">
        <f t="shared" si="2"/>
        <v>0</v>
      </c>
      <c r="BJ620" s="2103"/>
      <c r="BK620" s="2104">
        <f t="shared" si="3"/>
        <v>0</v>
      </c>
      <c r="BL620" s="2105"/>
      <c r="BM620" s="58"/>
      <c r="BN620" s="2099">
        <f t="shared" si="4"/>
        <v>0</v>
      </c>
      <c r="BO620" s="2100"/>
      <c r="BP620" s="2100"/>
      <c r="BQ620" s="2100"/>
      <c r="BR620" s="2101"/>
      <c r="BS620" s="2106">
        <f t="shared" si="5"/>
        <v>0</v>
      </c>
      <c r="BT620" s="2106"/>
      <c r="BU620" s="2106"/>
      <c r="BV620" s="2106"/>
      <c r="BW620" s="2106"/>
      <c r="BX620" s="2106">
        <f t="shared" si="6"/>
        <v>0</v>
      </c>
      <c r="BY620" s="2106"/>
      <c r="BZ620" s="2106"/>
      <c r="CA620" s="2106"/>
      <c r="CB620" s="2106"/>
      <c r="CC620" s="2106">
        <f t="shared" si="7"/>
        <v>0</v>
      </c>
      <c r="CD620" s="2106"/>
      <c r="CE620" s="2106"/>
      <c r="CF620" s="2106"/>
      <c r="CG620" s="2106"/>
      <c r="CH620" s="2106">
        <f t="shared" si="8"/>
        <v>0</v>
      </c>
      <c r="CI620" s="2106"/>
      <c r="CJ620" s="2106"/>
      <c r="CK620" s="2106"/>
      <c r="CL620" s="2106"/>
      <c r="CM620" s="2106">
        <f t="shared" si="9"/>
        <v>0</v>
      </c>
      <c r="CN620" s="2106"/>
      <c r="CO620" s="2106"/>
      <c r="CP620" s="2106"/>
      <c r="CQ620" s="2106"/>
      <c r="CR620" s="265"/>
      <c r="CS620" s="2303">
        <f t="shared" si="10"/>
        <v>0</v>
      </c>
      <c r="CT620" s="2303"/>
      <c r="CU620" s="2303"/>
      <c r="CV620" s="2303"/>
      <c r="CW620" s="2303"/>
      <c r="CX620" s="2303">
        <f t="shared" si="11"/>
        <v>0</v>
      </c>
      <c r="CY620" s="2303"/>
      <c r="CZ620" s="2303"/>
      <c r="DA620" s="2303"/>
      <c r="DB620" s="2303"/>
      <c r="DC620" s="2303">
        <f t="shared" si="12"/>
        <v>0</v>
      </c>
      <c r="DD620" s="2303"/>
      <c r="DE620" s="2303"/>
      <c r="DF620" s="2303"/>
      <c r="DG620" s="2303"/>
      <c r="DH620" s="2303">
        <f t="shared" si="13"/>
        <v>0</v>
      </c>
      <c r="DI620" s="2303"/>
      <c r="DJ620" s="2303"/>
      <c r="DK620" s="2303"/>
      <c r="DL620" s="2303"/>
      <c r="DM620" s="2303">
        <f t="shared" si="14"/>
        <v>0</v>
      </c>
      <c r="DN620" s="2303"/>
      <c r="DO620" s="2303"/>
      <c r="DP620" s="2303"/>
      <c r="DQ620" s="2303"/>
      <c r="DR620" s="2303">
        <f t="shared" si="15"/>
        <v>0</v>
      </c>
      <c r="DS620" s="2303"/>
      <c r="DT620" s="2303"/>
      <c r="DU620" s="2303"/>
      <c r="DV620" s="2303"/>
      <c r="DX620" s="2102" t="str">
        <f t="shared" si="16"/>
        <v xml:space="preserve"> </v>
      </c>
      <c r="DY620" s="2118"/>
      <c r="DZ620" s="2118"/>
      <c r="EA620" s="2118"/>
      <c r="EB620" s="2103"/>
      <c r="EC620" s="2102" t="str">
        <f t="shared" si="17"/>
        <v xml:space="preserve"> </v>
      </c>
      <c r="ED620" s="2118"/>
      <c r="EE620" s="2118"/>
      <c r="EF620" s="2118"/>
      <c r="EG620" s="2103"/>
      <c r="EH620" s="2102" t="str">
        <f t="shared" si="18"/>
        <v xml:space="preserve"> </v>
      </c>
      <c r="EI620" s="2118"/>
      <c r="EJ620" s="2118"/>
      <c r="EK620" s="2118"/>
      <c r="EL620" s="2103"/>
      <c r="EM620" s="2102" t="str">
        <f t="shared" si="19"/>
        <v xml:space="preserve"> </v>
      </c>
      <c r="EN620" s="2118"/>
      <c r="EO620" s="2118"/>
      <c r="EP620" s="2118"/>
      <c r="EQ620" s="2103"/>
      <c r="ER620" s="2102" t="str">
        <f t="shared" si="20"/>
        <v xml:space="preserve"> </v>
      </c>
      <c r="ES620" s="2118"/>
      <c r="ET620" s="2118"/>
      <c r="EU620" s="2118"/>
      <c r="EV620" s="2103"/>
      <c r="EW620" s="2102" t="str">
        <f t="shared" si="21"/>
        <v xml:space="preserve"> </v>
      </c>
      <c r="EX620" s="2118"/>
      <c r="EY620" s="2118"/>
      <c r="EZ620" s="2118"/>
      <c r="FA620" s="2103"/>
    </row>
    <row r="621" spans="1:157" ht="13.2">
      <c r="B621" s="12" t="s">
        <v>616</v>
      </c>
      <c r="G621" s="1955"/>
      <c r="H621" s="1955"/>
      <c r="I621" s="1955"/>
      <c r="J621" s="1955"/>
      <c r="K621" s="1955"/>
      <c r="L621" s="1955"/>
      <c r="M621" s="1955"/>
      <c r="N621" s="1955"/>
      <c r="O621" s="1955"/>
      <c r="P621" s="1955"/>
      <c r="Q621" s="1955"/>
      <c r="R621" s="1955"/>
      <c r="U621" s="12" t="s">
        <v>616</v>
      </c>
      <c r="Z621" s="1960"/>
      <c r="AA621" s="1960"/>
      <c r="AB621" s="1960"/>
      <c r="AC621" s="1960"/>
      <c r="AD621" s="1960"/>
      <c r="AE621" s="1960"/>
      <c r="AF621" s="1960"/>
      <c r="AG621" s="1960"/>
      <c r="AH621" s="1960"/>
      <c r="AI621" s="1960"/>
      <c r="AJ621" s="1960"/>
      <c r="AK621" s="1960"/>
      <c r="AZ621" s="58"/>
      <c r="BA621" s="58"/>
      <c r="BB621" s="58"/>
      <c r="BC621" s="58"/>
      <c r="BD621" s="58"/>
      <c r="BE621" s="2102">
        <f t="shared" si="0"/>
        <v>0</v>
      </c>
      <c r="BF621" s="2103"/>
      <c r="BG621" s="2104">
        <f t="shared" si="1"/>
        <v>0</v>
      </c>
      <c r="BH621" s="2105"/>
      <c r="BI621" s="2102">
        <f t="shared" si="2"/>
        <v>0</v>
      </c>
      <c r="BJ621" s="2103"/>
      <c r="BK621" s="2104">
        <f t="shared" si="3"/>
        <v>0</v>
      </c>
      <c r="BL621" s="2105"/>
      <c r="BM621" s="58"/>
      <c r="BN621" s="2099">
        <f t="shared" si="4"/>
        <v>0</v>
      </c>
      <c r="BO621" s="2100"/>
      <c r="BP621" s="2100"/>
      <c r="BQ621" s="2100"/>
      <c r="BR621" s="2101"/>
      <c r="BS621" s="2106">
        <f t="shared" si="5"/>
        <v>0</v>
      </c>
      <c r="BT621" s="2106"/>
      <c r="BU621" s="2106"/>
      <c r="BV621" s="2106"/>
      <c r="BW621" s="2106"/>
      <c r="BX621" s="2106">
        <f t="shared" si="6"/>
        <v>0</v>
      </c>
      <c r="BY621" s="2106"/>
      <c r="BZ621" s="2106"/>
      <c r="CA621" s="2106"/>
      <c r="CB621" s="2106"/>
      <c r="CC621" s="2106">
        <f t="shared" si="7"/>
        <v>0</v>
      </c>
      <c r="CD621" s="2106"/>
      <c r="CE621" s="2106"/>
      <c r="CF621" s="2106"/>
      <c r="CG621" s="2106"/>
      <c r="CH621" s="2106">
        <f t="shared" si="8"/>
        <v>0</v>
      </c>
      <c r="CI621" s="2106"/>
      <c r="CJ621" s="2106"/>
      <c r="CK621" s="2106"/>
      <c r="CL621" s="2106"/>
      <c r="CM621" s="2106">
        <f t="shared" si="9"/>
        <v>0</v>
      </c>
      <c r="CN621" s="2106"/>
      <c r="CO621" s="2106"/>
      <c r="CP621" s="2106"/>
      <c r="CQ621" s="2106"/>
      <c r="CR621" s="265"/>
      <c r="CS621" s="2303">
        <f t="shared" si="10"/>
        <v>0</v>
      </c>
      <c r="CT621" s="2303"/>
      <c r="CU621" s="2303"/>
      <c r="CV621" s="2303"/>
      <c r="CW621" s="2303"/>
      <c r="CX621" s="2303">
        <f t="shared" si="11"/>
        <v>0</v>
      </c>
      <c r="CY621" s="2303"/>
      <c r="CZ621" s="2303"/>
      <c r="DA621" s="2303"/>
      <c r="DB621" s="2303"/>
      <c r="DC621" s="2303">
        <f t="shared" si="12"/>
        <v>0</v>
      </c>
      <c r="DD621" s="2303"/>
      <c r="DE621" s="2303"/>
      <c r="DF621" s="2303"/>
      <c r="DG621" s="2303"/>
      <c r="DH621" s="2303">
        <f t="shared" si="13"/>
        <v>0</v>
      </c>
      <c r="DI621" s="2303"/>
      <c r="DJ621" s="2303"/>
      <c r="DK621" s="2303"/>
      <c r="DL621" s="2303"/>
      <c r="DM621" s="2303">
        <f t="shared" si="14"/>
        <v>0</v>
      </c>
      <c r="DN621" s="2303"/>
      <c r="DO621" s="2303"/>
      <c r="DP621" s="2303"/>
      <c r="DQ621" s="2303"/>
      <c r="DR621" s="2303">
        <f t="shared" si="15"/>
        <v>0</v>
      </c>
      <c r="DS621" s="2303"/>
      <c r="DT621" s="2303"/>
      <c r="DU621" s="2303"/>
      <c r="DV621" s="2303"/>
      <c r="DX621" s="2102" t="str">
        <f t="shared" si="16"/>
        <v xml:space="preserve"> </v>
      </c>
      <c r="DY621" s="2118"/>
      <c r="DZ621" s="2118"/>
      <c r="EA621" s="2118"/>
      <c r="EB621" s="2103"/>
      <c r="EC621" s="2102" t="str">
        <f t="shared" si="17"/>
        <v xml:space="preserve"> </v>
      </c>
      <c r="ED621" s="2118"/>
      <c r="EE621" s="2118"/>
      <c r="EF621" s="2118"/>
      <c r="EG621" s="2103"/>
      <c r="EH621" s="2102" t="str">
        <f t="shared" si="18"/>
        <v xml:space="preserve"> </v>
      </c>
      <c r="EI621" s="2118"/>
      <c r="EJ621" s="2118"/>
      <c r="EK621" s="2118"/>
      <c r="EL621" s="2103"/>
      <c r="EM621" s="2102" t="str">
        <f t="shared" si="19"/>
        <v xml:space="preserve"> </v>
      </c>
      <c r="EN621" s="2118"/>
      <c r="EO621" s="2118"/>
      <c r="EP621" s="2118"/>
      <c r="EQ621" s="2103"/>
      <c r="ER621" s="2102" t="str">
        <f t="shared" si="20"/>
        <v xml:space="preserve"> </v>
      </c>
      <c r="ES621" s="2118"/>
      <c r="ET621" s="2118"/>
      <c r="EU621" s="2118"/>
      <c r="EV621" s="2103"/>
      <c r="EW621" s="2102" t="str">
        <f t="shared" si="21"/>
        <v xml:space="preserve"> </v>
      </c>
      <c r="EX621" s="2118"/>
      <c r="EY621" s="2118"/>
      <c r="EZ621" s="2118"/>
      <c r="FA621" s="2103"/>
    </row>
    <row r="622" spans="1:157" ht="13.2">
      <c r="B622" s="12" t="s">
        <v>17</v>
      </c>
      <c r="G622" s="1955"/>
      <c r="H622" s="1955"/>
      <c r="I622" s="1955"/>
      <c r="J622" s="1955"/>
      <c r="K622" s="1955"/>
      <c r="L622" s="1955"/>
      <c r="M622" s="1955"/>
      <c r="N622" s="1955"/>
      <c r="O622" s="1955"/>
      <c r="P622" s="1955"/>
      <c r="Q622" s="1955"/>
      <c r="R622" s="1955"/>
      <c r="U622" s="12" t="s">
        <v>17</v>
      </c>
      <c r="Z622" s="1960"/>
      <c r="AA622" s="1960"/>
      <c r="AB622" s="1960"/>
      <c r="AC622" s="1960"/>
      <c r="AD622" s="1960"/>
      <c r="AE622" s="1960"/>
      <c r="AF622" s="1960"/>
      <c r="AG622" s="1960"/>
      <c r="AH622" s="1960"/>
      <c r="AI622" s="1960"/>
      <c r="AJ622" s="1960"/>
      <c r="AK622" s="1960"/>
      <c r="AZ622" s="58"/>
      <c r="BA622" s="58"/>
      <c r="BB622" s="58"/>
      <c r="BC622" s="58"/>
      <c r="BD622" s="58"/>
      <c r="BE622" s="2102">
        <f t="shared" si="0"/>
        <v>0</v>
      </c>
      <c r="BF622" s="2103"/>
      <c r="BG622" s="2104">
        <f t="shared" si="1"/>
        <v>0</v>
      </c>
      <c r="BH622" s="2105"/>
      <c r="BI622" s="2102">
        <f t="shared" si="2"/>
        <v>0</v>
      </c>
      <c r="BJ622" s="2103"/>
      <c r="BK622" s="2104">
        <f t="shared" si="3"/>
        <v>0</v>
      </c>
      <c r="BL622" s="2105"/>
      <c r="BM622" s="58"/>
      <c r="BN622" s="2099">
        <f t="shared" si="4"/>
        <v>0</v>
      </c>
      <c r="BO622" s="2100"/>
      <c r="BP622" s="2100"/>
      <c r="BQ622" s="2100"/>
      <c r="BR622" s="2101"/>
      <c r="BS622" s="2106">
        <f t="shared" si="5"/>
        <v>0</v>
      </c>
      <c r="BT622" s="2106"/>
      <c r="BU622" s="2106"/>
      <c r="BV622" s="2106"/>
      <c r="BW622" s="2106"/>
      <c r="BX622" s="2106">
        <f t="shared" si="6"/>
        <v>0</v>
      </c>
      <c r="BY622" s="2106"/>
      <c r="BZ622" s="2106"/>
      <c r="CA622" s="2106"/>
      <c r="CB622" s="2106"/>
      <c r="CC622" s="2106">
        <f t="shared" si="7"/>
        <v>0</v>
      </c>
      <c r="CD622" s="2106"/>
      <c r="CE622" s="2106"/>
      <c r="CF622" s="2106"/>
      <c r="CG622" s="2106"/>
      <c r="CH622" s="2106">
        <f t="shared" si="8"/>
        <v>0</v>
      </c>
      <c r="CI622" s="2106"/>
      <c r="CJ622" s="2106"/>
      <c r="CK622" s="2106"/>
      <c r="CL622" s="2106"/>
      <c r="CM622" s="2106">
        <f t="shared" si="9"/>
        <v>0</v>
      </c>
      <c r="CN622" s="2106"/>
      <c r="CO622" s="2106"/>
      <c r="CP622" s="2106"/>
      <c r="CQ622" s="2106"/>
      <c r="CR622" s="265"/>
      <c r="CS622" s="2303">
        <f t="shared" si="10"/>
        <v>0</v>
      </c>
      <c r="CT622" s="2303"/>
      <c r="CU622" s="2303"/>
      <c r="CV622" s="2303"/>
      <c r="CW622" s="2303"/>
      <c r="CX622" s="2303">
        <f t="shared" si="11"/>
        <v>0</v>
      </c>
      <c r="CY622" s="2303"/>
      <c r="CZ622" s="2303"/>
      <c r="DA622" s="2303"/>
      <c r="DB622" s="2303"/>
      <c r="DC622" s="2303">
        <f t="shared" si="12"/>
        <v>0</v>
      </c>
      <c r="DD622" s="2303"/>
      <c r="DE622" s="2303"/>
      <c r="DF622" s="2303"/>
      <c r="DG622" s="2303"/>
      <c r="DH622" s="2303">
        <f t="shared" si="13"/>
        <v>0</v>
      </c>
      <c r="DI622" s="2303"/>
      <c r="DJ622" s="2303"/>
      <c r="DK622" s="2303"/>
      <c r="DL622" s="2303"/>
      <c r="DM622" s="2303">
        <f t="shared" si="14"/>
        <v>0</v>
      </c>
      <c r="DN622" s="2303"/>
      <c r="DO622" s="2303"/>
      <c r="DP622" s="2303"/>
      <c r="DQ622" s="2303"/>
      <c r="DR622" s="2303">
        <f t="shared" si="15"/>
        <v>0</v>
      </c>
      <c r="DS622" s="2303"/>
      <c r="DT622" s="2303"/>
      <c r="DU622" s="2303"/>
      <c r="DV622" s="2303"/>
      <c r="DX622" s="2102" t="str">
        <f t="shared" si="16"/>
        <v xml:space="preserve"> </v>
      </c>
      <c r="DY622" s="2118"/>
      <c r="DZ622" s="2118"/>
      <c r="EA622" s="2118"/>
      <c r="EB622" s="2103"/>
      <c r="EC622" s="2102" t="str">
        <f t="shared" si="17"/>
        <v xml:space="preserve"> </v>
      </c>
      <c r="ED622" s="2118"/>
      <c r="EE622" s="2118"/>
      <c r="EF622" s="2118"/>
      <c r="EG622" s="2103"/>
      <c r="EH622" s="2102" t="str">
        <f t="shared" si="18"/>
        <v xml:space="preserve"> </v>
      </c>
      <c r="EI622" s="2118"/>
      <c r="EJ622" s="2118"/>
      <c r="EK622" s="2118"/>
      <c r="EL622" s="2103"/>
      <c r="EM622" s="2102" t="str">
        <f t="shared" si="19"/>
        <v xml:space="preserve"> </v>
      </c>
      <c r="EN622" s="2118"/>
      <c r="EO622" s="2118"/>
      <c r="EP622" s="2118"/>
      <c r="EQ622" s="2103"/>
      <c r="ER622" s="2102" t="str">
        <f t="shared" si="20"/>
        <v xml:space="preserve"> </v>
      </c>
      <c r="ES622" s="2118"/>
      <c r="ET622" s="2118"/>
      <c r="EU622" s="2118"/>
      <c r="EV622" s="2103"/>
      <c r="EW622" s="2102" t="str">
        <f t="shared" si="21"/>
        <v xml:space="preserve"> </v>
      </c>
      <c r="EX622" s="2118"/>
      <c r="EY622" s="2118"/>
      <c r="EZ622" s="2118"/>
      <c r="FA622" s="2103"/>
    </row>
    <row r="623" spans="1:157" ht="13.2">
      <c r="B623" s="12" t="s">
        <v>327</v>
      </c>
      <c r="G623" s="2022"/>
      <c r="H623" s="2022"/>
      <c r="I623" s="2022"/>
      <c r="J623" s="2022"/>
      <c r="K623" s="2022"/>
      <c r="L623" s="2022"/>
      <c r="O623" s="137" t="s">
        <v>212</v>
      </c>
      <c r="P623" s="2027"/>
      <c r="Q623" s="2027"/>
      <c r="R623" s="2027"/>
      <c r="U623" s="12" t="s">
        <v>327</v>
      </c>
      <c r="Z623" s="2022"/>
      <c r="AA623" s="2022"/>
      <c r="AB623" s="2022"/>
      <c r="AC623" s="2022"/>
      <c r="AD623" s="2022"/>
      <c r="AE623" s="2022"/>
      <c r="AH623" s="137" t="s">
        <v>212</v>
      </c>
      <c r="AI623" s="2027"/>
      <c r="AJ623" s="2027"/>
      <c r="AK623" s="2027"/>
      <c r="AZ623" s="58"/>
      <c r="BA623" s="58"/>
      <c r="BB623" s="58"/>
      <c r="BC623" s="58"/>
      <c r="BD623" s="58"/>
      <c r="BE623" s="2102">
        <f t="shared" si="0"/>
        <v>0</v>
      </c>
      <c r="BF623" s="2103"/>
      <c r="BG623" s="2104">
        <f t="shared" si="1"/>
        <v>0</v>
      </c>
      <c r="BH623" s="2105"/>
      <c r="BI623" s="2102">
        <f t="shared" si="2"/>
        <v>0</v>
      </c>
      <c r="BJ623" s="2103"/>
      <c r="BK623" s="2104">
        <f t="shared" si="3"/>
        <v>0</v>
      </c>
      <c r="BL623" s="2105"/>
      <c r="BM623" s="58"/>
      <c r="BN623" s="2099">
        <f t="shared" si="4"/>
        <v>0</v>
      </c>
      <c r="BO623" s="2100"/>
      <c r="BP623" s="2100"/>
      <c r="BQ623" s="2100"/>
      <c r="BR623" s="2101"/>
      <c r="BS623" s="2106">
        <f t="shared" si="5"/>
        <v>0</v>
      </c>
      <c r="BT623" s="2106"/>
      <c r="BU623" s="2106"/>
      <c r="BV623" s="2106"/>
      <c r="BW623" s="2106"/>
      <c r="BX623" s="2106">
        <f t="shared" si="6"/>
        <v>0</v>
      </c>
      <c r="BY623" s="2106"/>
      <c r="BZ623" s="2106"/>
      <c r="CA623" s="2106"/>
      <c r="CB623" s="2106"/>
      <c r="CC623" s="2106">
        <f t="shared" si="7"/>
        <v>0</v>
      </c>
      <c r="CD623" s="2106"/>
      <c r="CE623" s="2106"/>
      <c r="CF623" s="2106"/>
      <c r="CG623" s="2106"/>
      <c r="CH623" s="2106">
        <f t="shared" si="8"/>
        <v>0</v>
      </c>
      <c r="CI623" s="2106"/>
      <c r="CJ623" s="2106"/>
      <c r="CK623" s="2106"/>
      <c r="CL623" s="2106"/>
      <c r="CM623" s="2106">
        <f t="shared" si="9"/>
        <v>0</v>
      </c>
      <c r="CN623" s="2106"/>
      <c r="CO623" s="2106"/>
      <c r="CP623" s="2106"/>
      <c r="CQ623" s="2106"/>
      <c r="CR623" s="265"/>
      <c r="CS623" s="2303">
        <f t="shared" si="10"/>
        <v>0</v>
      </c>
      <c r="CT623" s="2303"/>
      <c r="CU623" s="2303"/>
      <c r="CV623" s="2303"/>
      <c r="CW623" s="2303"/>
      <c r="CX623" s="2303">
        <f t="shared" si="11"/>
        <v>0</v>
      </c>
      <c r="CY623" s="2303"/>
      <c r="CZ623" s="2303"/>
      <c r="DA623" s="2303"/>
      <c r="DB623" s="2303"/>
      <c r="DC623" s="2303">
        <f t="shared" si="12"/>
        <v>0</v>
      </c>
      <c r="DD623" s="2303"/>
      <c r="DE623" s="2303"/>
      <c r="DF623" s="2303"/>
      <c r="DG623" s="2303"/>
      <c r="DH623" s="2303">
        <f t="shared" si="13"/>
        <v>0</v>
      </c>
      <c r="DI623" s="2303"/>
      <c r="DJ623" s="2303"/>
      <c r="DK623" s="2303"/>
      <c r="DL623" s="2303"/>
      <c r="DM623" s="2303">
        <f t="shared" si="14"/>
        <v>0</v>
      </c>
      <c r="DN623" s="2303"/>
      <c r="DO623" s="2303"/>
      <c r="DP623" s="2303"/>
      <c r="DQ623" s="2303"/>
      <c r="DR623" s="2303">
        <f t="shared" si="15"/>
        <v>0</v>
      </c>
      <c r="DS623" s="2303"/>
      <c r="DT623" s="2303"/>
      <c r="DU623" s="2303"/>
      <c r="DV623" s="2303"/>
      <c r="DX623" s="2102" t="str">
        <f t="shared" si="16"/>
        <v xml:space="preserve"> </v>
      </c>
      <c r="DY623" s="2118"/>
      <c r="DZ623" s="2118"/>
      <c r="EA623" s="2118"/>
      <c r="EB623" s="2103"/>
      <c r="EC623" s="2102" t="str">
        <f t="shared" si="17"/>
        <v xml:space="preserve"> </v>
      </c>
      <c r="ED623" s="2118"/>
      <c r="EE623" s="2118"/>
      <c r="EF623" s="2118"/>
      <c r="EG623" s="2103"/>
      <c r="EH623" s="2102" t="str">
        <f t="shared" si="18"/>
        <v xml:space="preserve"> </v>
      </c>
      <c r="EI623" s="2118"/>
      <c r="EJ623" s="2118"/>
      <c r="EK623" s="2118"/>
      <c r="EL623" s="2103"/>
      <c r="EM623" s="2102" t="str">
        <f t="shared" si="19"/>
        <v xml:space="preserve"> </v>
      </c>
      <c r="EN623" s="2118"/>
      <c r="EO623" s="2118"/>
      <c r="EP623" s="2118"/>
      <c r="EQ623" s="2103"/>
      <c r="ER623" s="2102" t="str">
        <f t="shared" si="20"/>
        <v xml:space="preserve"> </v>
      </c>
      <c r="ES623" s="2118"/>
      <c r="ET623" s="2118"/>
      <c r="EU623" s="2118"/>
      <c r="EV623" s="2103"/>
      <c r="EW623" s="2102" t="str">
        <f t="shared" si="21"/>
        <v xml:space="preserve"> </v>
      </c>
      <c r="EX623" s="2118"/>
      <c r="EY623" s="2118"/>
      <c r="EZ623" s="2118"/>
      <c r="FA623" s="2103"/>
    </row>
    <row r="624" spans="1:157" ht="13.2">
      <c r="B624" s="12" t="s">
        <v>18</v>
      </c>
      <c r="H624" s="1955"/>
      <c r="I624" s="1955"/>
      <c r="J624" s="1955"/>
      <c r="K624" s="1955"/>
      <c r="L624" s="1955"/>
      <c r="M624" s="1955"/>
      <c r="N624" s="1955"/>
      <c r="O624" s="1955"/>
      <c r="P624" s="1955"/>
      <c r="Q624" s="1955"/>
      <c r="R624" s="1955"/>
      <c r="U624" s="12" t="s">
        <v>18</v>
      </c>
      <c r="AA624" s="1955"/>
      <c r="AB624" s="1955"/>
      <c r="AC624" s="1955"/>
      <c r="AD624" s="1955"/>
      <c r="AE624" s="1955"/>
      <c r="AF624" s="1955"/>
      <c r="AG624" s="1955"/>
      <c r="AH624" s="1955"/>
      <c r="AI624" s="1955"/>
      <c r="AJ624" s="1955"/>
      <c r="AK624" s="1955"/>
      <c r="AZ624" s="58"/>
      <c r="BA624" s="58"/>
      <c r="BB624" s="58"/>
      <c r="BC624" s="58"/>
      <c r="BD624" s="58"/>
      <c r="BE624" s="2102">
        <f t="shared" si="0"/>
        <v>0</v>
      </c>
      <c r="BF624" s="2103"/>
      <c r="BG624" s="2104">
        <f t="shared" si="1"/>
        <v>0</v>
      </c>
      <c r="BH624" s="2105"/>
      <c r="BI624" s="2102">
        <f t="shared" si="2"/>
        <v>0</v>
      </c>
      <c r="BJ624" s="2103"/>
      <c r="BK624" s="2104">
        <f t="shared" si="3"/>
        <v>0</v>
      </c>
      <c r="BL624" s="2105"/>
      <c r="BM624" s="58"/>
      <c r="BN624" s="2099">
        <f t="shared" si="4"/>
        <v>0</v>
      </c>
      <c r="BO624" s="2100"/>
      <c r="BP624" s="2100"/>
      <c r="BQ624" s="2100"/>
      <c r="BR624" s="2101"/>
      <c r="BS624" s="2106">
        <f t="shared" si="5"/>
        <v>0</v>
      </c>
      <c r="BT624" s="2106"/>
      <c r="BU624" s="2106"/>
      <c r="BV624" s="2106"/>
      <c r="BW624" s="2106"/>
      <c r="BX624" s="2106">
        <f t="shared" si="6"/>
        <v>0</v>
      </c>
      <c r="BY624" s="2106"/>
      <c r="BZ624" s="2106"/>
      <c r="CA624" s="2106"/>
      <c r="CB624" s="2106"/>
      <c r="CC624" s="2106">
        <f t="shared" si="7"/>
        <v>0</v>
      </c>
      <c r="CD624" s="2106"/>
      <c r="CE624" s="2106"/>
      <c r="CF624" s="2106"/>
      <c r="CG624" s="2106"/>
      <c r="CH624" s="2106">
        <f t="shared" si="8"/>
        <v>0</v>
      </c>
      <c r="CI624" s="2106"/>
      <c r="CJ624" s="2106"/>
      <c r="CK624" s="2106"/>
      <c r="CL624" s="2106"/>
      <c r="CM624" s="2106">
        <f t="shared" si="9"/>
        <v>0</v>
      </c>
      <c r="CN624" s="2106"/>
      <c r="CO624" s="2106"/>
      <c r="CP624" s="2106"/>
      <c r="CQ624" s="2106"/>
      <c r="CR624" s="265"/>
      <c r="CS624" s="2303">
        <f t="shared" si="10"/>
        <v>0</v>
      </c>
      <c r="CT624" s="2303"/>
      <c r="CU624" s="2303"/>
      <c r="CV624" s="2303"/>
      <c r="CW624" s="2303"/>
      <c r="CX624" s="2303">
        <f t="shared" si="11"/>
        <v>0</v>
      </c>
      <c r="CY624" s="2303"/>
      <c r="CZ624" s="2303"/>
      <c r="DA624" s="2303"/>
      <c r="DB624" s="2303"/>
      <c r="DC624" s="2303">
        <f t="shared" si="12"/>
        <v>0</v>
      </c>
      <c r="DD624" s="2303"/>
      <c r="DE624" s="2303"/>
      <c r="DF624" s="2303"/>
      <c r="DG624" s="2303"/>
      <c r="DH624" s="2303">
        <f t="shared" si="13"/>
        <v>0</v>
      </c>
      <c r="DI624" s="2303"/>
      <c r="DJ624" s="2303"/>
      <c r="DK624" s="2303"/>
      <c r="DL624" s="2303"/>
      <c r="DM624" s="2303">
        <f t="shared" si="14"/>
        <v>0</v>
      </c>
      <c r="DN624" s="2303"/>
      <c r="DO624" s="2303"/>
      <c r="DP624" s="2303"/>
      <c r="DQ624" s="2303"/>
      <c r="DR624" s="2303">
        <f t="shared" si="15"/>
        <v>0</v>
      </c>
      <c r="DS624" s="2303"/>
      <c r="DT624" s="2303"/>
      <c r="DU624" s="2303"/>
      <c r="DV624" s="2303"/>
      <c r="DX624" s="2102" t="str">
        <f t="shared" si="16"/>
        <v xml:space="preserve"> </v>
      </c>
      <c r="DY624" s="2118"/>
      <c r="DZ624" s="2118"/>
      <c r="EA624" s="2118"/>
      <c r="EB624" s="2103"/>
      <c r="EC624" s="2102" t="str">
        <f t="shared" si="17"/>
        <v xml:space="preserve"> </v>
      </c>
      <c r="ED624" s="2118"/>
      <c r="EE624" s="2118"/>
      <c r="EF624" s="2118"/>
      <c r="EG624" s="2103"/>
      <c r="EH624" s="2102" t="str">
        <f t="shared" si="18"/>
        <v xml:space="preserve"> </v>
      </c>
      <c r="EI624" s="2118"/>
      <c r="EJ624" s="2118"/>
      <c r="EK624" s="2118"/>
      <c r="EL624" s="2103"/>
      <c r="EM624" s="2102" t="str">
        <f t="shared" si="19"/>
        <v xml:space="preserve"> </v>
      </c>
      <c r="EN624" s="2118"/>
      <c r="EO624" s="2118"/>
      <c r="EP624" s="2118"/>
      <c r="EQ624" s="2103"/>
      <c r="ER624" s="2102" t="str">
        <f t="shared" si="20"/>
        <v xml:space="preserve"> </v>
      </c>
      <c r="ES624" s="2118"/>
      <c r="ET624" s="2118"/>
      <c r="EU624" s="2118"/>
      <c r="EV624" s="2103"/>
      <c r="EW624" s="2102" t="str">
        <f t="shared" si="21"/>
        <v xml:space="preserve"> </v>
      </c>
      <c r="EX624" s="2118"/>
      <c r="EY624" s="2118"/>
      <c r="EZ624" s="2118"/>
      <c r="FA624" s="2103"/>
    </row>
    <row r="625" spans="1:157" ht="13.2">
      <c r="B625" s="12" t="s">
        <v>20</v>
      </c>
      <c r="N625" s="1961" t="s">
        <v>707</v>
      </c>
      <c r="O625" s="1961"/>
      <c r="U625" s="12" t="s">
        <v>20</v>
      </c>
      <c r="AG625" s="1961" t="s">
        <v>707</v>
      </c>
      <c r="AH625" s="1961"/>
      <c r="AZ625" s="58"/>
      <c r="BA625" s="58"/>
      <c r="BB625" s="58"/>
      <c r="BC625" s="58"/>
      <c r="BD625" s="58"/>
      <c r="BE625" s="2102">
        <f t="shared" si="0"/>
        <v>0</v>
      </c>
      <c r="BF625" s="2103"/>
      <c r="BG625" s="2104">
        <f t="shared" si="1"/>
        <v>0</v>
      </c>
      <c r="BH625" s="2105"/>
      <c r="BI625" s="2102">
        <f t="shared" si="2"/>
        <v>0</v>
      </c>
      <c r="BJ625" s="2103"/>
      <c r="BK625" s="2104">
        <f t="shared" si="3"/>
        <v>0</v>
      </c>
      <c r="BL625" s="2105"/>
      <c r="BM625" s="58"/>
      <c r="BN625" s="2099">
        <f t="shared" si="4"/>
        <v>0</v>
      </c>
      <c r="BO625" s="2100"/>
      <c r="BP625" s="2100"/>
      <c r="BQ625" s="2100"/>
      <c r="BR625" s="2101"/>
      <c r="BS625" s="2106">
        <f t="shared" si="5"/>
        <v>0</v>
      </c>
      <c r="BT625" s="2106"/>
      <c r="BU625" s="2106"/>
      <c r="BV625" s="2106"/>
      <c r="BW625" s="2106"/>
      <c r="BX625" s="2106">
        <f t="shared" si="6"/>
        <v>0</v>
      </c>
      <c r="BY625" s="2106"/>
      <c r="BZ625" s="2106"/>
      <c r="CA625" s="2106"/>
      <c r="CB625" s="2106"/>
      <c r="CC625" s="2106">
        <f t="shared" si="7"/>
        <v>0</v>
      </c>
      <c r="CD625" s="2106"/>
      <c r="CE625" s="2106"/>
      <c r="CF625" s="2106"/>
      <c r="CG625" s="2106"/>
      <c r="CH625" s="2106">
        <f t="shared" si="8"/>
        <v>0</v>
      </c>
      <c r="CI625" s="2106"/>
      <c r="CJ625" s="2106"/>
      <c r="CK625" s="2106"/>
      <c r="CL625" s="2106"/>
      <c r="CM625" s="2106">
        <f t="shared" si="9"/>
        <v>0</v>
      </c>
      <c r="CN625" s="2106"/>
      <c r="CO625" s="2106"/>
      <c r="CP625" s="2106"/>
      <c r="CQ625" s="2106"/>
      <c r="CR625" s="265"/>
      <c r="CS625" s="2303">
        <f t="shared" si="10"/>
        <v>0</v>
      </c>
      <c r="CT625" s="2303"/>
      <c r="CU625" s="2303"/>
      <c r="CV625" s="2303"/>
      <c r="CW625" s="2303"/>
      <c r="CX625" s="2303">
        <f t="shared" si="11"/>
        <v>0</v>
      </c>
      <c r="CY625" s="2303"/>
      <c r="CZ625" s="2303"/>
      <c r="DA625" s="2303"/>
      <c r="DB625" s="2303"/>
      <c r="DC625" s="2303">
        <f t="shared" si="12"/>
        <v>0</v>
      </c>
      <c r="DD625" s="2303"/>
      <c r="DE625" s="2303"/>
      <c r="DF625" s="2303"/>
      <c r="DG625" s="2303"/>
      <c r="DH625" s="2303">
        <f t="shared" si="13"/>
        <v>0</v>
      </c>
      <c r="DI625" s="2303"/>
      <c r="DJ625" s="2303"/>
      <c r="DK625" s="2303"/>
      <c r="DL625" s="2303"/>
      <c r="DM625" s="2303">
        <f t="shared" si="14"/>
        <v>0</v>
      </c>
      <c r="DN625" s="2303"/>
      <c r="DO625" s="2303"/>
      <c r="DP625" s="2303"/>
      <c r="DQ625" s="2303"/>
      <c r="DR625" s="2303">
        <f t="shared" si="15"/>
        <v>0</v>
      </c>
      <c r="DS625" s="2303"/>
      <c r="DT625" s="2303"/>
      <c r="DU625" s="2303"/>
      <c r="DV625" s="2303"/>
      <c r="DX625" s="2102" t="str">
        <f t="shared" si="16"/>
        <v xml:space="preserve"> </v>
      </c>
      <c r="DY625" s="2118"/>
      <c r="DZ625" s="2118"/>
      <c r="EA625" s="2118"/>
      <c r="EB625" s="2103"/>
      <c r="EC625" s="2102" t="str">
        <f t="shared" si="17"/>
        <v xml:space="preserve"> </v>
      </c>
      <c r="ED625" s="2118"/>
      <c r="EE625" s="2118"/>
      <c r="EF625" s="2118"/>
      <c r="EG625" s="2103"/>
      <c r="EH625" s="2102" t="str">
        <f t="shared" si="18"/>
        <v xml:space="preserve"> </v>
      </c>
      <c r="EI625" s="2118"/>
      <c r="EJ625" s="2118"/>
      <c r="EK625" s="2118"/>
      <c r="EL625" s="2103"/>
      <c r="EM625" s="2102" t="str">
        <f t="shared" si="19"/>
        <v xml:space="preserve"> </v>
      </c>
      <c r="EN625" s="2118"/>
      <c r="EO625" s="2118"/>
      <c r="EP625" s="2118"/>
      <c r="EQ625" s="2103"/>
      <c r="ER625" s="2102" t="str">
        <f t="shared" si="20"/>
        <v xml:space="preserve"> </v>
      </c>
      <c r="ES625" s="2118"/>
      <c r="ET625" s="2118"/>
      <c r="EU625" s="2118"/>
      <c r="EV625" s="2103"/>
      <c r="EW625" s="2102" t="str">
        <f t="shared" si="21"/>
        <v xml:space="preserve"> </v>
      </c>
      <c r="EX625" s="2118"/>
      <c r="EY625" s="2118"/>
      <c r="EZ625" s="2118"/>
      <c r="FA625" s="2103"/>
    </row>
    <row r="626" spans="1:157" ht="13.2">
      <c r="AZ626" s="58"/>
      <c r="BA626" s="58"/>
      <c r="BB626" s="58"/>
      <c r="BC626" s="58"/>
      <c r="BD626" s="58"/>
      <c r="BE626" s="2102">
        <f t="shared" si="0"/>
        <v>0</v>
      </c>
      <c r="BF626" s="2103"/>
      <c r="BG626" s="2104">
        <f t="shared" si="1"/>
        <v>0</v>
      </c>
      <c r="BH626" s="2105"/>
      <c r="BI626" s="2102">
        <f t="shared" si="2"/>
        <v>0</v>
      </c>
      <c r="BJ626" s="2103"/>
      <c r="BK626" s="2104">
        <f t="shared" si="3"/>
        <v>0</v>
      </c>
      <c r="BL626" s="2105"/>
      <c r="BM626" s="58"/>
      <c r="BN626" s="2099">
        <f t="shared" si="4"/>
        <v>0</v>
      </c>
      <c r="BO626" s="2100"/>
      <c r="BP626" s="2100"/>
      <c r="BQ626" s="2100"/>
      <c r="BR626" s="2101"/>
      <c r="BS626" s="2106">
        <f t="shared" si="5"/>
        <v>0</v>
      </c>
      <c r="BT626" s="2106"/>
      <c r="BU626" s="2106"/>
      <c r="BV626" s="2106"/>
      <c r="BW626" s="2106"/>
      <c r="BX626" s="2106">
        <f t="shared" si="6"/>
        <v>0</v>
      </c>
      <c r="BY626" s="2106"/>
      <c r="BZ626" s="2106"/>
      <c r="CA626" s="2106"/>
      <c r="CB626" s="2106"/>
      <c r="CC626" s="2106">
        <f t="shared" si="7"/>
        <v>0</v>
      </c>
      <c r="CD626" s="2106"/>
      <c r="CE626" s="2106"/>
      <c r="CF626" s="2106"/>
      <c r="CG626" s="2106"/>
      <c r="CH626" s="2106">
        <f t="shared" si="8"/>
        <v>0</v>
      </c>
      <c r="CI626" s="2106"/>
      <c r="CJ626" s="2106"/>
      <c r="CK626" s="2106"/>
      <c r="CL626" s="2106"/>
      <c r="CM626" s="2106">
        <f t="shared" si="9"/>
        <v>0</v>
      </c>
      <c r="CN626" s="2106"/>
      <c r="CO626" s="2106"/>
      <c r="CP626" s="2106"/>
      <c r="CQ626" s="2106"/>
      <c r="CR626" s="265"/>
      <c r="CS626" s="2303">
        <f t="shared" si="10"/>
        <v>0</v>
      </c>
      <c r="CT626" s="2303"/>
      <c r="CU626" s="2303"/>
      <c r="CV626" s="2303"/>
      <c r="CW626" s="2303"/>
      <c r="CX626" s="2303">
        <f t="shared" si="11"/>
        <v>0</v>
      </c>
      <c r="CY626" s="2303"/>
      <c r="CZ626" s="2303"/>
      <c r="DA626" s="2303"/>
      <c r="DB626" s="2303"/>
      <c r="DC626" s="2303">
        <f t="shared" si="12"/>
        <v>0</v>
      </c>
      <c r="DD626" s="2303"/>
      <c r="DE626" s="2303"/>
      <c r="DF626" s="2303"/>
      <c r="DG626" s="2303"/>
      <c r="DH626" s="2303">
        <f t="shared" si="13"/>
        <v>0</v>
      </c>
      <c r="DI626" s="2303"/>
      <c r="DJ626" s="2303"/>
      <c r="DK626" s="2303"/>
      <c r="DL626" s="2303"/>
      <c r="DM626" s="2303">
        <f t="shared" si="14"/>
        <v>0</v>
      </c>
      <c r="DN626" s="2303"/>
      <c r="DO626" s="2303"/>
      <c r="DP626" s="2303"/>
      <c r="DQ626" s="2303"/>
      <c r="DR626" s="2303">
        <f t="shared" si="15"/>
        <v>0</v>
      </c>
      <c r="DS626" s="2303"/>
      <c r="DT626" s="2303"/>
      <c r="DU626" s="2303"/>
      <c r="DV626" s="2303"/>
      <c r="DX626" s="2102" t="str">
        <f t="shared" si="16"/>
        <v xml:space="preserve"> </v>
      </c>
      <c r="DY626" s="2118"/>
      <c r="DZ626" s="2118"/>
      <c r="EA626" s="2118"/>
      <c r="EB626" s="2103"/>
      <c r="EC626" s="2102" t="str">
        <f t="shared" si="17"/>
        <v xml:space="preserve"> </v>
      </c>
      <c r="ED626" s="2118"/>
      <c r="EE626" s="2118"/>
      <c r="EF626" s="2118"/>
      <c r="EG626" s="2103"/>
      <c r="EH626" s="2102" t="str">
        <f t="shared" si="18"/>
        <v xml:space="preserve"> </v>
      </c>
      <c r="EI626" s="2118"/>
      <c r="EJ626" s="2118"/>
      <c r="EK626" s="2118"/>
      <c r="EL626" s="2103"/>
      <c r="EM626" s="2102" t="str">
        <f t="shared" si="19"/>
        <v xml:space="preserve"> </v>
      </c>
      <c r="EN626" s="2118"/>
      <c r="EO626" s="2118"/>
      <c r="EP626" s="2118"/>
      <c r="EQ626" s="2103"/>
      <c r="ER626" s="2102" t="str">
        <f t="shared" si="20"/>
        <v xml:space="preserve"> </v>
      </c>
      <c r="ES626" s="2118"/>
      <c r="ET626" s="2118"/>
      <c r="EU626" s="2118"/>
      <c r="EV626" s="2103"/>
      <c r="EW626" s="2102" t="str">
        <f t="shared" si="21"/>
        <v xml:space="preserve"> </v>
      </c>
      <c r="EX626" s="2118"/>
      <c r="EY626" s="2118"/>
      <c r="EZ626" s="2118"/>
      <c r="FA626" s="2103"/>
    </row>
    <row r="627" spans="1:157" ht="12.75" customHeight="1">
      <c r="A627" s="1860" t="s">
        <v>578</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4"/>
      <c r="AU627" s="1574"/>
      <c r="AV627" s="1574"/>
      <c r="AW627" s="1574"/>
      <c r="AX627" s="1574"/>
      <c r="AY627" s="1574"/>
      <c r="AZ627" s="58"/>
      <c r="BA627" s="58"/>
      <c r="BB627" s="58"/>
      <c r="BC627" s="58"/>
      <c r="BD627" s="58"/>
      <c r="BE627" s="2102">
        <f t="shared" si="0"/>
        <v>0</v>
      </c>
      <c r="BF627" s="2103"/>
      <c r="BG627" s="2104">
        <f t="shared" si="1"/>
        <v>0</v>
      </c>
      <c r="BH627" s="2105"/>
      <c r="BI627" s="2102">
        <f t="shared" si="2"/>
        <v>0</v>
      </c>
      <c r="BJ627" s="2103"/>
      <c r="BK627" s="2104">
        <f t="shared" si="3"/>
        <v>0</v>
      </c>
      <c r="BL627" s="2105"/>
      <c r="BM627" s="58"/>
      <c r="BN627" s="2099">
        <f t="shared" si="4"/>
        <v>0</v>
      </c>
      <c r="BO627" s="2100"/>
      <c r="BP627" s="2100"/>
      <c r="BQ627" s="2100"/>
      <c r="BR627" s="2101"/>
      <c r="BS627" s="2106">
        <f t="shared" si="5"/>
        <v>0</v>
      </c>
      <c r="BT627" s="2106"/>
      <c r="BU627" s="2106"/>
      <c r="BV627" s="2106"/>
      <c r="BW627" s="2106"/>
      <c r="BX627" s="2106">
        <f t="shared" si="6"/>
        <v>0</v>
      </c>
      <c r="BY627" s="2106"/>
      <c r="BZ627" s="2106"/>
      <c r="CA627" s="2106"/>
      <c r="CB627" s="2106"/>
      <c r="CC627" s="2106">
        <f t="shared" si="7"/>
        <v>0</v>
      </c>
      <c r="CD627" s="2106"/>
      <c r="CE627" s="2106"/>
      <c r="CF627" s="2106"/>
      <c r="CG627" s="2106"/>
      <c r="CH627" s="2106">
        <f t="shared" si="8"/>
        <v>0</v>
      </c>
      <c r="CI627" s="2106"/>
      <c r="CJ627" s="2106"/>
      <c r="CK627" s="2106"/>
      <c r="CL627" s="2106"/>
      <c r="CM627" s="2106">
        <f t="shared" si="9"/>
        <v>0</v>
      </c>
      <c r="CN627" s="2106"/>
      <c r="CO627" s="2106"/>
      <c r="CP627" s="2106"/>
      <c r="CQ627" s="2106"/>
      <c r="CR627" s="265"/>
      <c r="CS627" s="2303">
        <f t="shared" si="10"/>
        <v>0</v>
      </c>
      <c r="CT627" s="2303"/>
      <c r="CU627" s="2303"/>
      <c r="CV627" s="2303"/>
      <c r="CW627" s="2303"/>
      <c r="CX627" s="2303">
        <f t="shared" si="11"/>
        <v>0</v>
      </c>
      <c r="CY627" s="2303"/>
      <c r="CZ627" s="2303"/>
      <c r="DA627" s="2303"/>
      <c r="DB627" s="2303"/>
      <c r="DC627" s="2303">
        <f t="shared" si="12"/>
        <v>0</v>
      </c>
      <c r="DD627" s="2303"/>
      <c r="DE627" s="2303"/>
      <c r="DF627" s="2303"/>
      <c r="DG627" s="2303"/>
      <c r="DH627" s="2303">
        <f t="shared" si="13"/>
        <v>0</v>
      </c>
      <c r="DI627" s="2303"/>
      <c r="DJ627" s="2303"/>
      <c r="DK627" s="2303"/>
      <c r="DL627" s="2303"/>
      <c r="DM627" s="2303">
        <f t="shared" si="14"/>
        <v>0</v>
      </c>
      <c r="DN627" s="2303"/>
      <c r="DO627" s="2303"/>
      <c r="DP627" s="2303"/>
      <c r="DQ627" s="2303"/>
      <c r="DR627" s="2303">
        <f t="shared" si="15"/>
        <v>0</v>
      </c>
      <c r="DS627" s="2303"/>
      <c r="DT627" s="2303"/>
      <c r="DU627" s="2303"/>
      <c r="DV627" s="2303"/>
      <c r="DX627" s="2102" t="str">
        <f t="shared" si="16"/>
        <v xml:space="preserve"> </v>
      </c>
      <c r="DY627" s="2118"/>
      <c r="DZ627" s="2118"/>
      <c r="EA627" s="2118"/>
      <c r="EB627" s="2103"/>
      <c r="EC627" s="2102" t="str">
        <f t="shared" si="17"/>
        <v xml:space="preserve"> </v>
      </c>
      <c r="ED627" s="2118"/>
      <c r="EE627" s="2118"/>
      <c r="EF627" s="2118"/>
      <c r="EG627" s="2103"/>
      <c r="EH627" s="2102" t="str">
        <f t="shared" si="18"/>
        <v xml:space="preserve"> </v>
      </c>
      <c r="EI627" s="2118"/>
      <c r="EJ627" s="2118"/>
      <c r="EK627" s="2118"/>
      <c r="EL627" s="2103"/>
      <c r="EM627" s="2102" t="str">
        <f t="shared" si="19"/>
        <v xml:space="preserve"> </v>
      </c>
      <c r="EN627" s="2118"/>
      <c r="EO627" s="2118"/>
      <c r="EP627" s="2118"/>
      <c r="EQ627" s="2103"/>
      <c r="ER627" s="2102" t="str">
        <f t="shared" si="20"/>
        <v xml:space="preserve"> </v>
      </c>
      <c r="ES627" s="2118"/>
      <c r="ET627" s="2118"/>
      <c r="EU627" s="2118"/>
      <c r="EV627" s="2103"/>
      <c r="EW627" s="2102" t="str">
        <f t="shared" si="21"/>
        <v xml:space="preserve"> </v>
      </c>
      <c r="EX627" s="2118"/>
      <c r="EY627" s="2118"/>
      <c r="EZ627" s="2118"/>
      <c r="FA627" s="2103"/>
    </row>
    <row r="628" spans="1:157" ht="13.2">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4"/>
      <c r="AU628" s="1574"/>
      <c r="AV628" s="1574"/>
      <c r="AW628" s="1574"/>
      <c r="AX628" s="1574"/>
      <c r="AY628" s="1574"/>
      <c r="AZ628" s="58"/>
      <c r="BA628" s="58"/>
      <c r="BB628" s="58"/>
      <c r="BC628" s="58"/>
      <c r="BD628" s="58"/>
      <c r="BE628" s="2102">
        <f t="shared" si="0"/>
        <v>0</v>
      </c>
      <c r="BF628" s="2103"/>
      <c r="BG628" s="2104">
        <f t="shared" si="1"/>
        <v>0</v>
      </c>
      <c r="BH628" s="2105"/>
      <c r="BI628" s="2102">
        <f t="shared" si="2"/>
        <v>0</v>
      </c>
      <c r="BJ628" s="2103"/>
      <c r="BK628" s="2104">
        <f t="shared" si="3"/>
        <v>0</v>
      </c>
      <c r="BL628" s="2105"/>
      <c r="BM628" s="58"/>
      <c r="BN628" s="2099">
        <f t="shared" si="4"/>
        <v>0</v>
      </c>
      <c r="BO628" s="2100"/>
      <c r="BP628" s="2100"/>
      <c r="BQ628" s="2100"/>
      <c r="BR628" s="2101"/>
      <c r="BS628" s="2106">
        <f t="shared" si="5"/>
        <v>0</v>
      </c>
      <c r="BT628" s="2106"/>
      <c r="BU628" s="2106"/>
      <c r="BV628" s="2106"/>
      <c r="BW628" s="2106"/>
      <c r="BX628" s="2106">
        <f t="shared" si="6"/>
        <v>0</v>
      </c>
      <c r="BY628" s="2106"/>
      <c r="BZ628" s="2106"/>
      <c r="CA628" s="2106"/>
      <c r="CB628" s="2106"/>
      <c r="CC628" s="2106">
        <f t="shared" si="7"/>
        <v>0</v>
      </c>
      <c r="CD628" s="2106"/>
      <c r="CE628" s="2106"/>
      <c r="CF628" s="2106"/>
      <c r="CG628" s="2106"/>
      <c r="CH628" s="2106">
        <f t="shared" si="8"/>
        <v>0</v>
      </c>
      <c r="CI628" s="2106"/>
      <c r="CJ628" s="2106"/>
      <c r="CK628" s="2106"/>
      <c r="CL628" s="2106"/>
      <c r="CM628" s="2106">
        <f t="shared" si="9"/>
        <v>0</v>
      </c>
      <c r="CN628" s="2106"/>
      <c r="CO628" s="2106"/>
      <c r="CP628" s="2106"/>
      <c r="CQ628" s="2106"/>
      <c r="CR628" s="265"/>
      <c r="CS628" s="2303">
        <f t="shared" si="10"/>
        <v>0</v>
      </c>
      <c r="CT628" s="2303"/>
      <c r="CU628" s="2303"/>
      <c r="CV628" s="2303"/>
      <c r="CW628" s="2303"/>
      <c r="CX628" s="2303">
        <f t="shared" si="11"/>
        <v>0</v>
      </c>
      <c r="CY628" s="2303"/>
      <c r="CZ628" s="2303"/>
      <c r="DA628" s="2303"/>
      <c r="DB628" s="2303"/>
      <c r="DC628" s="2303">
        <f t="shared" si="12"/>
        <v>0</v>
      </c>
      <c r="DD628" s="2303"/>
      <c r="DE628" s="2303"/>
      <c r="DF628" s="2303"/>
      <c r="DG628" s="2303"/>
      <c r="DH628" s="2303">
        <f t="shared" si="13"/>
        <v>0</v>
      </c>
      <c r="DI628" s="2303"/>
      <c r="DJ628" s="2303"/>
      <c r="DK628" s="2303"/>
      <c r="DL628" s="2303"/>
      <c r="DM628" s="2303">
        <f t="shared" si="14"/>
        <v>0</v>
      </c>
      <c r="DN628" s="2303"/>
      <c r="DO628" s="2303"/>
      <c r="DP628" s="2303"/>
      <c r="DQ628" s="2303"/>
      <c r="DR628" s="2303">
        <f t="shared" si="15"/>
        <v>0</v>
      </c>
      <c r="DS628" s="2303"/>
      <c r="DT628" s="2303"/>
      <c r="DU628" s="2303"/>
      <c r="DV628" s="2303"/>
      <c r="DX628" s="2102" t="str">
        <f t="shared" si="16"/>
        <v xml:space="preserve"> </v>
      </c>
      <c r="DY628" s="2118"/>
      <c r="DZ628" s="2118"/>
      <c r="EA628" s="2118"/>
      <c r="EB628" s="2103"/>
      <c r="EC628" s="2102" t="str">
        <f t="shared" si="17"/>
        <v xml:space="preserve"> </v>
      </c>
      <c r="ED628" s="2118"/>
      <c r="EE628" s="2118"/>
      <c r="EF628" s="2118"/>
      <c r="EG628" s="2103"/>
      <c r="EH628" s="2102" t="str">
        <f t="shared" si="18"/>
        <v xml:space="preserve"> </v>
      </c>
      <c r="EI628" s="2118"/>
      <c r="EJ628" s="2118"/>
      <c r="EK628" s="2118"/>
      <c r="EL628" s="2103"/>
      <c r="EM628" s="2102" t="str">
        <f t="shared" si="19"/>
        <v xml:space="preserve"> </v>
      </c>
      <c r="EN628" s="2118"/>
      <c r="EO628" s="2118"/>
      <c r="EP628" s="2118"/>
      <c r="EQ628" s="2103"/>
      <c r="ER628" s="2102" t="str">
        <f t="shared" si="20"/>
        <v xml:space="preserve"> </v>
      </c>
      <c r="ES628" s="2118"/>
      <c r="ET628" s="2118"/>
      <c r="EU628" s="2118"/>
      <c r="EV628" s="2103"/>
      <c r="EW628" s="2102" t="str">
        <f t="shared" si="21"/>
        <v xml:space="preserve"> </v>
      </c>
      <c r="EX628" s="2118"/>
      <c r="EY628" s="2118"/>
      <c r="EZ628" s="2118"/>
      <c r="FA628" s="2103"/>
    </row>
    <row r="629" spans="1:157" ht="13.2">
      <c r="A629" s="25"/>
      <c r="B629" s="25"/>
      <c r="C629" s="25"/>
      <c r="D629" s="25"/>
      <c r="E629" s="25"/>
      <c r="F629" s="25"/>
      <c r="G629" s="3"/>
      <c r="H629" s="25"/>
      <c r="AZ629" s="58"/>
      <c r="BA629" s="58"/>
      <c r="BB629" s="58"/>
      <c r="BC629" s="58"/>
      <c r="BD629" s="58"/>
      <c r="BE629" s="2102">
        <f t="shared" si="0"/>
        <v>0</v>
      </c>
      <c r="BF629" s="2103"/>
      <c r="BG629" s="2104">
        <f t="shared" si="1"/>
        <v>0</v>
      </c>
      <c r="BH629" s="2105"/>
      <c r="BI629" s="2102">
        <f t="shared" si="2"/>
        <v>0</v>
      </c>
      <c r="BJ629" s="2103"/>
      <c r="BK629" s="2104">
        <f t="shared" si="3"/>
        <v>0</v>
      </c>
      <c r="BL629" s="2105"/>
      <c r="BM629" s="58"/>
      <c r="BN629" s="2099">
        <f t="shared" si="4"/>
        <v>0</v>
      </c>
      <c r="BO629" s="2100"/>
      <c r="BP629" s="2100"/>
      <c r="BQ629" s="2100"/>
      <c r="BR629" s="2101"/>
      <c r="BS629" s="2106">
        <f t="shared" si="5"/>
        <v>0</v>
      </c>
      <c r="BT629" s="2106"/>
      <c r="BU629" s="2106"/>
      <c r="BV629" s="2106"/>
      <c r="BW629" s="2106"/>
      <c r="BX629" s="2106">
        <f t="shared" si="6"/>
        <v>0</v>
      </c>
      <c r="BY629" s="2106"/>
      <c r="BZ629" s="2106"/>
      <c r="CA629" s="2106"/>
      <c r="CB629" s="2106"/>
      <c r="CC629" s="2106">
        <f t="shared" si="7"/>
        <v>0</v>
      </c>
      <c r="CD629" s="2106"/>
      <c r="CE629" s="2106"/>
      <c r="CF629" s="2106"/>
      <c r="CG629" s="2106"/>
      <c r="CH629" s="2106">
        <f t="shared" si="8"/>
        <v>0</v>
      </c>
      <c r="CI629" s="2106"/>
      <c r="CJ629" s="2106"/>
      <c r="CK629" s="2106"/>
      <c r="CL629" s="2106"/>
      <c r="CM629" s="2106">
        <f t="shared" si="9"/>
        <v>0</v>
      </c>
      <c r="CN629" s="2106"/>
      <c r="CO629" s="2106"/>
      <c r="CP629" s="2106"/>
      <c r="CQ629" s="2106"/>
      <c r="CR629" s="265"/>
      <c r="CS629" s="2303">
        <f t="shared" si="10"/>
        <v>0</v>
      </c>
      <c r="CT629" s="2303"/>
      <c r="CU629" s="2303"/>
      <c r="CV629" s="2303"/>
      <c r="CW629" s="2303"/>
      <c r="CX629" s="2303">
        <f t="shared" si="11"/>
        <v>0</v>
      </c>
      <c r="CY629" s="2303"/>
      <c r="CZ629" s="2303"/>
      <c r="DA629" s="2303"/>
      <c r="DB629" s="2303"/>
      <c r="DC629" s="2303">
        <f t="shared" si="12"/>
        <v>0</v>
      </c>
      <c r="DD629" s="2303"/>
      <c r="DE629" s="2303"/>
      <c r="DF629" s="2303"/>
      <c r="DG629" s="2303"/>
      <c r="DH629" s="2303">
        <f t="shared" si="13"/>
        <v>0</v>
      </c>
      <c r="DI629" s="2303"/>
      <c r="DJ629" s="2303"/>
      <c r="DK629" s="2303"/>
      <c r="DL629" s="2303"/>
      <c r="DM629" s="2303">
        <f t="shared" si="14"/>
        <v>0</v>
      </c>
      <c r="DN629" s="2303"/>
      <c r="DO629" s="2303"/>
      <c r="DP629" s="2303"/>
      <c r="DQ629" s="2303"/>
      <c r="DR629" s="2303">
        <f t="shared" si="15"/>
        <v>0</v>
      </c>
      <c r="DS629" s="2303"/>
      <c r="DT629" s="2303"/>
      <c r="DU629" s="2303"/>
      <c r="DV629" s="2303"/>
      <c r="DX629" s="2102" t="str">
        <f t="shared" si="16"/>
        <v xml:space="preserve"> </v>
      </c>
      <c r="DY629" s="2118"/>
      <c r="DZ629" s="2118"/>
      <c r="EA629" s="2118"/>
      <c r="EB629" s="2103"/>
      <c r="EC629" s="2102" t="str">
        <f t="shared" si="17"/>
        <v xml:space="preserve"> </v>
      </c>
      <c r="ED629" s="2118"/>
      <c r="EE629" s="2118"/>
      <c r="EF629" s="2118"/>
      <c r="EG629" s="2103"/>
      <c r="EH629" s="2102" t="str">
        <f t="shared" si="18"/>
        <v xml:space="preserve"> </v>
      </c>
      <c r="EI629" s="2118"/>
      <c r="EJ629" s="2118"/>
      <c r="EK629" s="2118"/>
      <c r="EL629" s="2103"/>
      <c r="EM629" s="2102" t="str">
        <f t="shared" si="19"/>
        <v xml:space="preserve"> </v>
      </c>
      <c r="EN629" s="2118"/>
      <c r="EO629" s="2118"/>
      <c r="EP629" s="2118"/>
      <c r="EQ629" s="2103"/>
      <c r="ER629" s="2102" t="str">
        <f t="shared" si="20"/>
        <v xml:space="preserve"> </v>
      </c>
      <c r="ES629" s="2118"/>
      <c r="ET629" s="2118"/>
      <c r="EU629" s="2118"/>
      <c r="EV629" s="2103"/>
      <c r="EW629" s="2102" t="str">
        <f t="shared" si="21"/>
        <v xml:space="preserve"> </v>
      </c>
      <c r="EX629" s="2118"/>
      <c r="EY629" s="2118"/>
      <c r="EZ629" s="2118"/>
      <c r="FA629" s="2103"/>
    </row>
    <row r="630" spans="1:157" ht="13.2">
      <c r="A630" s="50" t="s">
        <v>330</v>
      </c>
      <c r="B630" s="50"/>
      <c r="C630" s="50" t="s">
        <v>21</v>
      </c>
      <c r="AZ630" s="58"/>
      <c r="BA630" s="58"/>
      <c r="BB630" s="58"/>
      <c r="BC630" s="58"/>
      <c r="BD630" s="58"/>
      <c r="BE630" s="2102">
        <f t="shared" si="0"/>
        <v>0</v>
      </c>
      <c r="BF630" s="2103"/>
      <c r="BG630" s="2104">
        <f t="shared" si="1"/>
        <v>0</v>
      </c>
      <c r="BH630" s="2105"/>
      <c r="BI630" s="2102">
        <f t="shared" si="2"/>
        <v>0</v>
      </c>
      <c r="BJ630" s="2103"/>
      <c r="BK630" s="2104">
        <f t="shared" si="3"/>
        <v>0</v>
      </c>
      <c r="BL630" s="2105"/>
      <c r="BM630" s="58"/>
      <c r="BN630" s="2099">
        <f t="shared" si="4"/>
        <v>0</v>
      </c>
      <c r="BO630" s="2100"/>
      <c r="BP630" s="2100"/>
      <c r="BQ630" s="2100"/>
      <c r="BR630" s="2101"/>
      <c r="BS630" s="2106">
        <f t="shared" si="5"/>
        <v>0</v>
      </c>
      <c r="BT630" s="2106"/>
      <c r="BU630" s="2106"/>
      <c r="BV630" s="2106"/>
      <c r="BW630" s="2106"/>
      <c r="BX630" s="2106">
        <f t="shared" si="6"/>
        <v>0</v>
      </c>
      <c r="BY630" s="2106"/>
      <c r="BZ630" s="2106"/>
      <c r="CA630" s="2106"/>
      <c r="CB630" s="2106"/>
      <c r="CC630" s="2106">
        <f t="shared" si="7"/>
        <v>0</v>
      </c>
      <c r="CD630" s="2106"/>
      <c r="CE630" s="2106"/>
      <c r="CF630" s="2106"/>
      <c r="CG630" s="2106"/>
      <c r="CH630" s="2106">
        <f t="shared" si="8"/>
        <v>0</v>
      </c>
      <c r="CI630" s="2106"/>
      <c r="CJ630" s="2106"/>
      <c r="CK630" s="2106"/>
      <c r="CL630" s="2106"/>
      <c r="CM630" s="2106">
        <f t="shared" si="9"/>
        <v>0</v>
      </c>
      <c r="CN630" s="2106"/>
      <c r="CO630" s="2106"/>
      <c r="CP630" s="2106"/>
      <c r="CQ630" s="2106"/>
      <c r="CR630" s="265"/>
      <c r="CS630" s="2303">
        <f t="shared" si="10"/>
        <v>0</v>
      </c>
      <c r="CT630" s="2303"/>
      <c r="CU630" s="2303"/>
      <c r="CV630" s="2303"/>
      <c r="CW630" s="2303"/>
      <c r="CX630" s="2303">
        <f t="shared" si="11"/>
        <v>0</v>
      </c>
      <c r="CY630" s="2303"/>
      <c r="CZ630" s="2303"/>
      <c r="DA630" s="2303"/>
      <c r="DB630" s="2303"/>
      <c r="DC630" s="2303">
        <f t="shared" si="12"/>
        <v>0</v>
      </c>
      <c r="DD630" s="2303"/>
      <c r="DE630" s="2303"/>
      <c r="DF630" s="2303"/>
      <c r="DG630" s="2303"/>
      <c r="DH630" s="2303">
        <f t="shared" si="13"/>
        <v>0</v>
      </c>
      <c r="DI630" s="2303"/>
      <c r="DJ630" s="2303"/>
      <c r="DK630" s="2303"/>
      <c r="DL630" s="2303"/>
      <c r="DM630" s="2303">
        <f t="shared" si="14"/>
        <v>0</v>
      </c>
      <c r="DN630" s="2303"/>
      <c r="DO630" s="2303"/>
      <c r="DP630" s="2303"/>
      <c r="DQ630" s="2303"/>
      <c r="DR630" s="2303">
        <f t="shared" si="15"/>
        <v>0</v>
      </c>
      <c r="DS630" s="2303"/>
      <c r="DT630" s="2303"/>
      <c r="DU630" s="2303"/>
      <c r="DV630" s="2303"/>
      <c r="DX630" s="2102" t="str">
        <f t="shared" si="16"/>
        <v xml:space="preserve"> </v>
      </c>
      <c r="DY630" s="2118"/>
      <c r="DZ630" s="2118"/>
      <c r="EA630" s="2118"/>
      <c r="EB630" s="2103"/>
      <c r="EC630" s="2102" t="str">
        <f t="shared" si="17"/>
        <v xml:space="preserve"> </v>
      </c>
      <c r="ED630" s="2118"/>
      <c r="EE630" s="2118"/>
      <c r="EF630" s="2118"/>
      <c r="EG630" s="2103"/>
      <c r="EH630" s="2102" t="str">
        <f t="shared" si="18"/>
        <v xml:space="preserve"> </v>
      </c>
      <c r="EI630" s="2118"/>
      <c r="EJ630" s="2118"/>
      <c r="EK630" s="2118"/>
      <c r="EL630" s="2103"/>
      <c r="EM630" s="2102" t="str">
        <f t="shared" si="19"/>
        <v xml:space="preserve"> </v>
      </c>
      <c r="EN630" s="2118"/>
      <c r="EO630" s="2118"/>
      <c r="EP630" s="2118"/>
      <c r="EQ630" s="2103"/>
      <c r="ER630" s="2102" t="str">
        <f t="shared" si="20"/>
        <v xml:space="preserve"> </v>
      </c>
      <c r="ES630" s="2118"/>
      <c r="ET630" s="2118"/>
      <c r="EU630" s="2118"/>
      <c r="EV630" s="2103"/>
      <c r="EW630" s="2102" t="str">
        <f t="shared" si="21"/>
        <v xml:space="preserve"> </v>
      </c>
      <c r="EX630" s="2118"/>
      <c r="EY630" s="2118"/>
      <c r="EZ630" s="2118"/>
      <c r="FA630" s="2103"/>
    </row>
    <row r="631" spans="1:157" ht="13.2">
      <c r="A631" s="50"/>
      <c r="B631" s="50"/>
      <c r="C631" s="50"/>
      <c r="AZ631" s="58"/>
      <c r="BA631" s="58"/>
      <c r="BB631" s="58"/>
      <c r="BC631" s="58"/>
      <c r="BD631" s="58"/>
      <c r="BE631" s="2102">
        <f t="shared" si="0"/>
        <v>0</v>
      </c>
      <c r="BF631" s="2103"/>
      <c r="BG631" s="2104">
        <f t="shared" si="1"/>
        <v>0</v>
      </c>
      <c r="BH631" s="2105"/>
      <c r="BI631" s="2102">
        <f t="shared" si="2"/>
        <v>0</v>
      </c>
      <c r="BJ631" s="2103"/>
      <c r="BK631" s="2104">
        <f t="shared" si="3"/>
        <v>0</v>
      </c>
      <c r="BL631" s="2105"/>
      <c r="BM631" s="58"/>
      <c r="BN631" s="2099">
        <f t="shared" si="4"/>
        <v>0</v>
      </c>
      <c r="BO631" s="2100"/>
      <c r="BP631" s="2100"/>
      <c r="BQ631" s="2100"/>
      <c r="BR631" s="2101"/>
      <c r="BS631" s="2106">
        <f t="shared" si="5"/>
        <v>0</v>
      </c>
      <c r="BT631" s="2106"/>
      <c r="BU631" s="2106"/>
      <c r="BV631" s="2106"/>
      <c r="BW631" s="2106"/>
      <c r="BX631" s="2106">
        <f t="shared" si="6"/>
        <v>0</v>
      </c>
      <c r="BY631" s="2106"/>
      <c r="BZ631" s="2106"/>
      <c r="CA631" s="2106"/>
      <c r="CB631" s="2106"/>
      <c r="CC631" s="2106">
        <f t="shared" si="7"/>
        <v>0</v>
      </c>
      <c r="CD631" s="2106"/>
      <c r="CE631" s="2106"/>
      <c r="CF631" s="2106"/>
      <c r="CG631" s="2106"/>
      <c r="CH631" s="2106">
        <f t="shared" si="8"/>
        <v>0</v>
      </c>
      <c r="CI631" s="2106"/>
      <c r="CJ631" s="2106"/>
      <c r="CK631" s="2106"/>
      <c r="CL631" s="2106"/>
      <c r="CM631" s="2106">
        <f t="shared" si="9"/>
        <v>0</v>
      </c>
      <c r="CN631" s="2106"/>
      <c r="CO631" s="2106"/>
      <c r="CP631" s="2106"/>
      <c r="CQ631" s="2106"/>
      <c r="CR631" s="265"/>
      <c r="CS631" s="2303">
        <f t="shared" si="10"/>
        <v>0</v>
      </c>
      <c r="CT631" s="2303"/>
      <c r="CU631" s="2303"/>
      <c r="CV631" s="2303"/>
      <c r="CW631" s="2303"/>
      <c r="CX631" s="2303">
        <f t="shared" si="11"/>
        <v>0</v>
      </c>
      <c r="CY631" s="2303"/>
      <c r="CZ631" s="2303"/>
      <c r="DA631" s="2303"/>
      <c r="DB631" s="2303"/>
      <c r="DC631" s="2303">
        <f t="shared" si="12"/>
        <v>0</v>
      </c>
      <c r="DD631" s="2303"/>
      <c r="DE631" s="2303"/>
      <c r="DF631" s="2303"/>
      <c r="DG631" s="2303"/>
      <c r="DH631" s="2303">
        <f t="shared" si="13"/>
        <v>0</v>
      </c>
      <c r="DI631" s="2303"/>
      <c r="DJ631" s="2303"/>
      <c r="DK631" s="2303"/>
      <c r="DL631" s="2303"/>
      <c r="DM631" s="2303">
        <f t="shared" si="14"/>
        <v>0</v>
      </c>
      <c r="DN631" s="2303"/>
      <c r="DO631" s="2303"/>
      <c r="DP631" s="2303"/>
      <c r="DQ631" s="2303"/>
      <c r="DR631" s="2303">
        <f t="shared" si="15"/>
        <v>0</v>
      </c>
      <c r="DS631" s="2303"/>
      <c r="DT631" s="2303"/>
      <c r="DU631" s="2303"/>
      <c r="DV631" s="2303"/>
      <c r="DX631" s="2102" t="str">
        <f t="shared" si="16"/>
        <v xml:space="preserve"> </v>
      </c>
      <c r="DY631" s="2118"/>
      <c r="DZ631" s="2118"/>
      <c r="EA631" s="2118"/>
      <c r="EB631" s="2103"/>
      <c r="EC631" s="2102" t="str">
        <f t="shared" si="17"/>
        <v xml:space="preserve"> </v>
      </c>
      <c r="ED631" s="2118"/>
      <c r="EE631" s="2118"/>
      <c r="EF631" s="2118"/>
      <c r="EG631" s="2103"/>
      <c r="EH631" s="2102" t="str">
        <f t="shared" si="18"/>
        <v xml:space="preserve"> </v>
      </c>
      <c r="EI631" s="2118"/>
      <c r="EJ631" s="2118"/>
      <c r="EK631" s="2118"/>
      <c r="EL631" s="2103"/>
      <c r="EM631" s="2102" t="str">
        <f t="shared" si="19"/>
        <v xml:space="preserve"> </v>
      </c>
      <c r="EN631" s="2118"/>
      <c r="EO631" s="2118"/>
      <c r="EP631" s="2118"/>
      <c r="EQ631" s="2103"/>
      <c r="ER631" s="2102" t="str">
        <f t="shared" si="20"/>
        <v xml:space="preserve"> </v>
      </c>
      <c r="ES631" s="2118"/>
      <c r="ET631" s="2118"/>
      <c r="EU631" s="2118"/>
      <c r="EV631" s="2103"/>
      <c r="EW631" s="2102" t="str">
        <f t="shared" si="21"/>
        <v xml:space="preserve"> </v>
      </c>
      <c r="EX631" s="2118"/>
      <c r="EY631" s="2118"/>
      <c r="EZ631" s="2118"/>
      <c r="FA631" s="2103"/>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102">
        <f t="shared" si="0"/>
        <v>0</v>
      </c>
      <c r="BF632" s="2103"/>
      <c r="BG632" s="2104">
        <f t="shared" si="1"/>
        <v>0</v>
      </c>
      <c r="BH632" s="2105"/>
      <c r="BI632" s="2102">
        <f t="shared" si="2"/>
        <v>0</v>
      </c>
      <c r="BJ632" s="2103"/>
      <c r="BK632" s="2104">
        <f t="shared" si="3"/>
        <v>0</v>
      </c>
      <c r="BL632" s="2105"/>
      <c r="BM632" s="58"/>
      <c r="BN632" s="2099">
        <f t="shared" si="4"/>
        <v>0</v>
      </c>
      <c r="BO632" s="2100"/>
      <c r="BP632" s="2100"/>
      <c r="BQ632" s="2100"/>
      <c r="BR632" s="2101"/>
      <c r="BS632" s="2106">
        <f t="shared" si="5"/>
        <v>0</v>
      </c>
      <c r="BT632" s="2106"/>
      <c r="BU632" s="2106"/>
      <c r="BV632" s="2106"/>
      <c r="BW632" s="2106"/>
      <c r="BX632" s="2106">
        <f t="shared" si="6"/>
        <v>0</v>
      </c>
      <c r="BY632" s="2106"/>
      <c r="BZ632" s="2106"/>
      <c r="CA632" s="2106"/>
      <c r="CB632" s="2106"/>
      <c r="CC632" s="2106">
        <f t="shared" si="7"/>
        <v>0</v>
      </c>
      <c r="CD632" s="2106"/>
      <c r="CE632" s="2106"/>
      <c r="CF632" s="2106"/>
      <c r="CG632" s="2106"/>
      <c r="CH632" s="2106">
        <f t="shared" si="8"/>
        <v>0</v>
      </c>
      <c r="CI632" s="2106"/>
      <c r="CJ632" s="2106"/>
      <c r="CK632" s="2106"/>
      <c r="CL632" s="2106"/>
      <c r="CM632" s="2106">
        <f t="shared" si="9"/>
        <v>0</v>
      </c>
      <c r="CN632" s="2106"/>
      <c r="CO632" s="2106"/>
      <c r="CP632" s="2106"/>
      <c r="CQ632" s="2106"/>
      <c r="CR632" s="265"/>
      <c r="CS632" s="2303">
        <f t="shared" si="10"/>
        <v>0</v>
      </c>
      <c r="CT632" s="2303"/>
      <c r="CU632" s="2303"/>
      <c r="CV632" s="2303"/>
      <c r="CW632" s="2303"/>
      <c r="CX632" s="2303">
        <f t="shared" si="11"/>
        <v>0</v>
      </c>
      <c r="CY632" s="2303"/>
      <c r="CZ632" s="2303"/>
      <c r="DA632" s="2303"/>
      <c r="DB632" s="2303"/>
      <c r="DC632" s="2303">
        <f t="shared" si="12"/>
        <v>0</v>
      </c>
      <c r="DD632" s="2303"/>
      <c r="DE632" s="2303"/>
      <c r="DF632" s="2303"/>
      <c r="DG632" s="2303"/>
      <c r="DH632" s="2303">
        <f t="shared" si="13"/>
        <v>0</v>
      </c>
      <c r="DI632" s="2303"/>
      <c r="DJ632" s="2303"/>
      <c r="DK632" s="2303"/>
      <c r="DL632" s="2303"/>
      <c r="DM632" s="2303">
        <f t="shared" si="14"/>
        <v>0</v>
      </c>
      <c r="DN632" s="2303"/>
      <c r="DO632" s="2303"/>
      <c r="DP632" s="2303"/>
      <c r="DQ632" s="2303"/>
      <c r="DR632" s="2303">
        <f t="shared" si="15"/>
        <v>0</v>
      </c>
      <c r="DS632" s="2303"/>
      <c r="DT632" s="2303"/>
      <c r="DU632" s="2303"/>
      <c r="DV632" s="2303"/>
      <c r="DX632" s="2102" t="str">
        <f t="shared" si="16"/>
        <v xml:space="preserve"> </v>
      </c>
      <c r="DY632" s="2118"/>
      <c r="DZ632" s="2118"/>
      <c r="EA632" s="2118"/>
      <c r="EB632" s="2103"/>
      <c r="EC632" s="2102" t="str">
        <f t="shared" si="17"/>
        <v xml:space="preserve"> </v>
      </c>
      <c r="ED632" s="2118"/>
      <c r="EE632" s="2118"/>
      <c r="EF632" s="2118"/>
      <c r="EG632" s="2103"/>
      <c r="EH632" s="2102" t="str">
        <f t="shared" si="18"/>
        <v xml:space="preserve"> </v>
      </c>
      <c r="EI632" s="2118"/>
      <c r="EJ632" s="2118"/>
      <c r="EK632" s="2118"/>
      <c r="EL632" s="2103"/>
      <c r="EM632" s="2102" t="str">
        <f t="shared" si="19"/>
        <v xml:space="preserve"> </v>
      </c>
      <c r="EN632" s="2118"/>
      <c r="EO632" s="2118"/>
      <c r="EP632" s="2118"/>
      <c r="EQ632" s="2103"/>
      <c r="ER632" s="2102" t="str">
        <f t="shared" si="20"/>
        <v xml:space="preserve"> </v>
      </c>
      <c r="ES632" s="2118"/>
      <c r="ET632" s="2118"/>
      <c r="EU632" s="2118"/>
      <c r="EV632" s="2103"/>
      <c r="EW632" s="2102" t="str">
        <f t="shared" si="21"/>
        <v xml:space="preserve"> </v>
      </c>
      <c r="EX632" s="2118"/>
      <c r="EY632" s="2118"/>
      <c r="EZ632" s="2118"/>
      <c r="FA632" s="2103"/>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102">
        <f t="shared" si="0"/>
        <v>0</v>
      </c>
      <c r="BF633" s="2103"/>
      <c r="BG633" s="2104">
        <f t="shared" si="1"/>
        <v>0</v>
      </c>
      <c r="BH633" s="2105"/>
      <c r="BI633" s="2102">
        <f t="shared" si="2"/>
        <v>0</v>
      </c>
      <c r="BJ633" s="2103"/>
      <c r="BK633" s="2104">
        <f t="shared" si="3"/>
        <v>0</v>
      </c>
      <c r="BL633" s="2105"/>
      <c r="BM633" s="58"/>
      <c r="BN633" s="2099">
        <f t="shared" si="4"/>
        <v>0</v>
      </c>
      <c r="BO633" s="2100"/>
      <c r="BP633" s="2100"/>
      <c r="BQ633" s="2100"/>
      <c r="BR633" s="2101"/>
      <c r="BS633" s="2106">
        <f t="shared" si="5"/>
        <v>0</v>
      </c>
      <c r="BT633" s="2106"/>
      <c r="BU633" s="2106"/>
      <c r="BV633" s="2106"/>
      <c r="BW633" s="2106"/>
      <c r="BX633" s="2106">
        <f t="shared" si="6"/>
        <v>0</v>
      </c>
      <c r="BY633" s="2106"/>
      <c r="BZ633" s="2106"/>
      <c r="CA633" s="2106"/>
      <c r="CB633" s="2106"/>
      <c r="CC633" s="2106">
        <f t="shared" si="7"/>
        <v>0</v>
      </c>
      <c r="CD633" s="2106"/>
      <c r="CE633" s="2106"/>
      <c r="CF633" s="2106"/>
      <c r="CG633" s="2106"/>
      <c r="CH633" s="2106">
        <f t="shared" si="8"/>
        <v>0</v>
      </c>
      <c r="CI633" s="2106"/>
      <c r="CJ633" s="2106"/>
      <c r="CK633" s="2106"/>
      <c r="CL633" s="2106"/>
      <c r="CM633" s="2106">
        <f t="shared" si="9"/>
        <v>0</v>
      </c>
      <c r="CN633" s="2106"/>
      <c r="CO633" s="2106"/>
      <c r="CP633" s="2106"/>
      <c r="CQ633" s="2106"/>
      <c r="CR633" s="265"/>
      <c r="CS633" s="2303">
        <f t="shared" si="10"/>
        <v>0</v>
      </c>
      <c r="CT633" s="2303"/>
      <c r="CU633" s="2303"/>
      <c r="CV633" s="2303"/>
      <c r="CW633" s="2303"/>
      <c r="CX633" s="2303">
        <f t="shared" si="11"/>
        <v>0</v>
      </c>
      <c r="CY633" s="2303"/>
      <c r="CZ633" s="2303"/>
      <c r="DA633" s="2303"/>
      <c r="DB633" s="2303"/>
      <c r="DC633" s="2303">
        <f t="shared" si="12"/>
        <v>0</v>
      </c>
      <c r="DD633" s="2303"/>
      <c r="DE633" s="2303"/>
      <c r="DF633" s="2303"/>
      <c r="DG633" s="2303"/>
      <c r="DH633" s="2303">
        <f t="shared" si="13"/>
        <v>0</v>
      </c>
      <c r="DI633" s="2303"/>
      <c r="DJ633" s="2303"/>
      <c r="DK633" s="2303"/>
      <c r="DL633" s="2303"/>
      <c r="DM633" s="2303">
        <f t="shared" si="14"/>
        <v>0</v>
      </c>
      <c r="DN633" s="2303"/>
      <c r="DO633" s="2303"/>
      <c r="DP633" s="2303"/>
      <c r="DQ633" s="2303"/>
      <c r="DR633" s="2303">
        <f t="shared" si="15"/>
        <v>0</v>
      </c>
      <c r="DS633" s="2303"/>
      <c r="DT633" s="2303"/>
      <c r="DU633" s="2303"/>
      <c r="DV633" s="2303"/>
      <c r="DX633" s="2102" t="str">
        <f t="shared" si="16"/>
        <v xml:space="preserve"> </v>
      </c>
      <c r="DY633" s="2118"/>
      <c r="DZ633" s="2118"/>
      <c r="EA633" s="2118"/>
      <c r="EB633" s="2103"/>
      <c r="EC633" s="2102" t="str">
        <f t="shared" si="17"/>
        <v xml:space="preserve"> </v>
      </c>
      <c r="ED633" s="2118"/>
      <c r="EE633" s="2118"/>
      <c r="EF633" s="2118"/>
      <c r="EG633" s="2103"/>
      <c r="EH633" s="2102" t="str">
        <f t="shared" si="18"/>
        <v xml:space="preserve"> </v>
      </c>
      <c r="EI633" s="2118"/>
      <c r="EJ633" s="2118"/>
      <c r="EK633" s="2118"/>
      <c r="EL633" s="2103"/>
      <c r="EM633" s="2102" t="str">
        <f t="shared" si="19"/>
        <v xml:space="preserve"> </v>
      </c>
      <c r="EN633" s="2118"/>
      <c r="EO633" s="2118"/>
      <c r="EP633" s="2118"/>
      <c r="EQ633" s="2103"/>
      <c r="ER633" s="2102" t="str">
        <f t="shared" si="20"/>
        <v xml:space="preserve"> </v>
      </c>
      <c r="ES633" s="2118"/>
      <c r="ET633" s="2118"/>
      <c r="EU633" s="2118"/>
      <c r="EV633" s="2103"/>
      <c r="EW633" s="2102" t="str">
        <f t="shared" si="21"/>
        <v xml:space="preserve"> </v>
      </c>
      <c r="EX633" s="2118"/>
      <c r="EY633" s="2118"/>
      <c r="EZ633" s="2118"/>
      <c r="FA633" s="2103"/>
    </row>
    <row r="634" spans="1:157" s="1839" customFormat="1" ht="12.75" customHeight="1">
      <c r="B634" s="2294" t="s">
        <v>485</v>
      </c>
      <c r="C634" s="2295"/>
      <c r="D634" s="2295"/>
      <c r="E634" s="2295"/>
      <c r="F634" s="2295"/>
      <c r="G634" s="2295"/>
      <c r="H634" s="2295"/>
      <c r="I634" s="2295"/>
      <c r="J634" s="2295"/>
      <c r="K634" s="2295"/>
      <c r="L634" s="2295"/>
      <c r="M634" s="2295"/>
      <c r="N634" s="2296"/>
      <c r="O634" s="2258" t="s">
        <v>2442</v>
      </c>
      <c r="P634" s="2107"/>
      <c r="Q634" s="2108"/>
      <c r="R634" s="2258" t="s">
        <v>2440</v>
      </c>
      <c r="S634" s="2107"/>
      <c r="T634" s="2108"/>
      <c r="U634" s="2326" t="s">
        <v>486</v>
      </c>
      <c r="V634" s="2326"/>
      <c r="W634" s="2327"/>
      <c r="X634" s="2258" t="s">
        <v>2165</v>
      </c>
      <c r="Y634" s="2107"/>
      <c r="Z634" s="2107"/>
      <c r="AA634" s="2107"/>
      <c r="AB634" s="2108"/>
      <c r="AC634" s="2313" t="s">
        <v>2163</v>
      </c>
      <c r="AD634" s="2314"/>
      <c r="AE634" s="2315"/>
      <c r="AF634" s="2258" t="s">
        <v>2166</v>
      </c>
      <c r="AG634" s="2107"/>
      <c r="AH634" s="2107"/>
      <c r="AI634" s="2107"/>
      <c r="AJ634" s="2108"/>
      <c r="AK634" s="2304" t="s">
        <v>2167</v>
      </c>
      <c r="AL634" s="2305"/>
      <c r="AM634" s="2305"/>
      <c r="AN634" s="2306"/>
      <c r="AO634" s="2322" t="s">
        <v>487</v>
      </c>
      <c r="AP634" s="2322"/>
      <c r="AQ634" s="2322"/>
      <c r="AR634" s="2322"/>
      <c r="AS634" s="2322"/>
      <c r="AT634" s="1840"/>
      <c r="AU634" s="1840"/>
      <c r="AV634" s="1840"/>
      <c r="AW634" s="1840"/>
      <c r="AX634" s="1840"/>
      <c r="AY634" s="1840"/>
      <c r="AZ634" s="181"/>
      <c r="BA634" s="181"/>
      <c r="BB634" s="181"/>
      <c r="BC634" s="181"/>
      <c r="BD634" s="181"/>
      <c r="BE634" s="2102">
        <f t="shared" si="0"/>
        <v>0</v>
      </c>
      <c r="BF634" s="2103"/>
      <c r="BG634" s="2104">
        <f t="shared" si="1"/>
        <v>0</v>
      </c>
      <c r="BH634" s="2105"/>
      <c r="BI634" s="2102">
        <f t="shared" si="2"/>
        <v>0</v>
      </c>
      <c r="BJ634" s="2103"/>
      <c r="BK634" s="2104">
        <f t="shared" si="3"/>
        <v>0</v>
      </c>
      <c r="BL634" s="2105"/>
      <c r="BM634" s="181"/>
      <c r="BN634" s="2099">
        <f t="shared" si="4"/>
        <v>0</v>
      </c>
      <c r="BO634" s="2100"/>
      <c r="BP634" s="2100"/>
      <c r="BQ634" s="2100"/>
      <c r="BR634" s="2101"/>
      <c r="BS634" s="2106">
        <f t="shared" si="5"/>
        <v>0</v>
      </c>
      <c r="BT634" s="2106"/>
      <c r="BU634" s="2106"/>
      <c r="BV634" s="2106"/>
      <c r="BW634" s="2106"/>
      <c r="BX634" s="2106">
        <f t="shared" si="6"/>
        <v>0</v>
      </c>
      <c r="BY634" s="2106"/>
      <c r="BZ634" s="2106"/>
      <c r="CA634" s="2106"/>
      <c r="CB634" s="2106"/>
      <c r="CC634" s="2106">
        <f t="shared" si="7"/>
        <v>0</v>
      </c>
      <c r="CD634" s="2106"/>
      <c r="CE634" s="2106"/>
      <c r="CF634" s="2106"/>
      <c r="CG634" s="2106"/>
      <c r="CH634" s="2106">
        <f t="shared" si="8"/>
        <v>0</v>
      </c>
      <c r="CI634" s="2106"/>
      <c r="CJ634" s="2106"/>
      <c r="CK634" s="2106"/>
      <c r="CL634" s="2106"/>
      <c r="CM634" s="2106">
        <f t="shared" si="9"/>
        <v>0</v>
      </c>
      <c r="CN634" s="2106"/>
      <c r="CO634" s="2106"/>
      <c r="CP634" s="2106"/>
      <c r="CQ634" s="2106"/>
      <c r="CR634" s="265"/>
      <c r="CS634" s="2303">
        <f t="shared" si="10"/>
        <v>0</v>
      </c>
      <c r="CT634" s="2303"/>
      <c r="CU634" s="2303"/>
      <c r="CV634" s="2303"/>
      <c r="CW634" s="2303"/>
      <c r="CX634" s="2303">
        <f t="shared" si="11"/>
        <v>0</v>
      </c>
      <c r="CY634" s="2303"/>
      <c r="CZ634" s="2303"/>
      <c r="DA634" s="2303"/>
      <c r="DB634" s="2303"/>
      <c r="DC634" s="2303">
        <f t="shared" si="12"/>
        <v>0</v>
      </c>
      <c r="DD634" s="2303"/>
      <c r="DE634" s="2303"/>
      <c r="DF634" s="2303"/>
      <c r="DG634" s="2303"/>
      <c r="DH634" s="2303">
        <f t="shared" si="13"/>
        <v>0</v>
      </c>
      <c r="DI634" s="2303"/>
      <c r="DJ634" s="2303"/>
      <c r="DK634" s="2303"/>
      <c r="DL634" s="2303"/>
      <c r="DM634" s="2303">
        <f t="shared" si="14"/>
        <v>0</v>
      </c>
      <c r="DN634" s="2303"/>
      <c r="DO634" s="2303"/>
      <c r="DP634" s="2303"/>
      <c r="DQ634" s="2303"/>
      <c r="DR634" s="2303">
        <f t="shared" si="15"/>
        <v>0</v>
      </c>
      <c r="DS634" s="2303"/>
      <c r="DT634" s="2303"/>
      <c r="DU634" s="2303"/>
      <c r="DV634" s="2303"/>
      <c r="DX634" s="2102" t="str">
        <f t="shared" si="16"/>
        <v xml:space="preserve"> </v>
      </c>
      <c r="DY634" s="2118"/>
      <c r="DZ634" s="2118"/>
      <c r="EA634" s="2118"/>
      <c r="EB634" s="2103"/>
      <c r="EC634" s="2102" t="str">
        <f t="shared" si="17"/>
        <v xml:space="preserve"> </v>
      </c>
      <c r="ED634" s="2118"/>
      <c r="EE634" s="2118"/>
      <c r="EF634" s="2118"/>
      <c r="EG634" s="2103"/>
      <c r="EH634" s="2102" t="str">
        <f t="shared" si="18"/>
        <v xml:space="preserve"> </v>
      </c>
      <c r="EI634" s="2118"/>
      <c r="EJ634" s="2118"/>
      <c r="EK634" s="2118"/>
      <c r="EL634" s="2103"/>
      <c r="EM634" s="2102" t="str">
        <f t="shared" si="19"/>
        <v xml:space="preserve"> </v>
      </c>
      <c r="EN634" s="2118"/>
      <c r="EO634" s="2118"/>
      <c r="EP634" s="2118"/>
      <c r="EQ634" s="2103"/>
      <c r="ER634" s="2102" t="str">
        <f t="shared" si="20"/>
        <v xml:space="preserve"> </v>
      </c>
      <c r="ES634" s="2118"/>
      <c r="ET634" s="2118"/>
      <c r="EU634" s="2118"/>
      <c r="EV634" s="2103"/>
      <c r="EW634" s="2102" t="str">
        <f t="shared" si="21"/>
        <v xml:space="preserve"> </v>
      </c>
      <c r="EX634" s="2118"/>
      <c r="EY634" s="2118"/>
      <c r="EZ634" s="2118"/>
      <c r="FA634" s="2103"/>
    </row>
    <row r="635" spans="1:157" s="1839" customFormat="1" ht="13.2">
      <c r="B635" s="2499"/>
      <c r="C635" s="2171"/>
      <c r="D635" s="2171"/>
      <c r="E635" s="2171"/>
      <c r="F635" s="2171"/>
      <c r="G635" s="2171"/>
      <c r="H635" s="2171"/>
      <c r="I635" s="2171"/>
      <c r="J635" s="2171"/>
      <c r="K635" s="2171"/>
      <c r="L635" s="2171"/>
      <c r="M635" s="2171"/>
      <c r="N635" s="2500"/>
      <c r="O635" s="2259"/>
      <c r="P635" s="2260"/>
      <c r="Q635" s="2279"/>
      <c r="R635" s="2259"/>
      <c r="S635" s="2260"/>
      <c r="T635" s="2279"/>
      <c r="U635" s="2328"/>
      <c r="V635" s="2328"/>
      <c r="W635" s="2329"/>
      <c r="X635" s="2259"/>
      <c r="Y635" s="2260"/>
      <c r="Z635" s="2260"/>
      <c r="AA635" s="2260"/>
      <c r="AB635" s="2279"/>
      <c r="AC635" s="2316"/>
      <c r="AD635" s="2317"/>
      <c r="AE635" s="2318"/>
      <c r="AF635" s="2259"/>
      <c r="AG635" s="2260"/>
      <c r="AH635" s="2260"/>
      <c r="AI635" s="2260"/>
      <c r="AJ635" s="2279"/>
      <c r="AK635" s="2307"/>
      <c r="AL635" s="2308"/>
      <c r="AM635" s="2308"/>
      <c r="AN635" s="2309"/>
      <c r="AO635" s="2322"/>
      <c r="AP635" s="2322"/>
      <c r="AQ635" s="2322"/>
      <c r="AR635" s="2322"/>
      <c r="AS635" s="2322"/>
      <c r="AT635" s="1840"/>
      <c r="AU635" s="1840"/>
      <c r="AV635" s="1840"/>
      <c r="AW635" s="1840"/>
      <c r="AX635" s="1840"/>
      <c r="AY635" s="1840"/>
      <c r="AZ635" s="181"/>
      <c r="BA635" s="181"/>
      <c r="BB635" s="181"/>
      <c r="BC635" s="181"/>
      <c r="BD635" s="181"/>
      <c r="BE635" s="181"/>
      <c r="BF635" s="181"/>
      <c r="BG635" s="2102">
        <f>SUM(BG610:BH634)</f>
        <v>14</v>
      </c>
      <c r="BH635" s="2103"/>
      <c r="BI635" s="181"/>
      <c r="BJ635" s="181"/>
      <c r="BK635" s="2102">
        <f>SUM(BK610:BL634)</f>
        <v>14</v>
      </c>
      <c r="BL635" s="2103"/>
      <c r="BM635" s="181"/>
      <c r="BN635" s="2102">
        <f>SUM(BN610:BR634)</f>
        <v>0</v>
      </c>
      <c r="BO635" s="2118"/>
      <c r="BP635" s="2118"/>
      <c r="BQ635" s="2118"/>
      <c r="BR635" s="2103"/>
      <c r="BS635" s="2119">
        <f>SUM(BS610:BW634)</f>
        <v>0</v>
      </c>
      <c r="BT635" s="2119"/>
      <c r="BU635" s="2119"/>
      <c r="BV635" s="2119"/>
      <c r="BW635" s="2119"/>
      <c r="BX635" s="2119">
        <f>SUM(BX610:CB634)</f>
        <v>6</v>
      </c>
      <c r="BY635" s="2119"/>
      <c r="BZ635" s="2119"/>
      <c r="CA635" s="2119"/>
      <c r="CB635" s="2119"/>
      <c r="CC635" s="2119">
        <f>SUM(CC610:CG634)</f>
        <v>127</v>
      </c>
      <c r="CD635" s="2119"/>
      <c r="CE635" s="2119"/>
      <c r="CF635" s="2119"/>
      <c r="CG635" s="2119"/>
      <c r="CH635" s="2119">
        <f>SUM(CH610:CL634)</f>
        <v>0</v>
      </c>
      <c r="CI635" s="2119"/>
      <c r="CJ635" s="2119"/>
      <c r="CK635" s="2119"/>
      <c r="CL635" s="2119"/>
      <c r="CM635" s="2119">
        <f>SUM(CM610:CQ634)</f>
        <v>0</v>
      </c>
      <c r="CN635" s="2119"/>
      <c r="CO635" s="2119"/>
      <c r="CP635" s="2119"/>
      <c r="CQ635" s="2119"/>
      <c r="CR635" s="698"/>
      <c r="CS635" s="2119">
        <f>SUM(CS610:CW634)</f>
        <v>0</v>
      </c>
      <c r="CT635" s="2119"/>
      <c r="CU635" s="2119"/>
      <c r="CV635" s="2119"/>
      <c r="CW635" s="2119"/>
      <c r="CX635" s="2119">
        <f>SUM(CX610:DB634)</f>
        <v>0</v>
      </c>
      <c r="CY635" s="2119"/>
      <c r="CZ635" s="2119"/>
      <c r="DA635" s="2119"/>
      <c r="DB635" s="2119"/>
      <c r="DC635" s="2119">
        <f>SUM(DC610:DG634)</f>
        <v>1</v>
      </c>
      <c r="DD635" s="2119"/>
      <c r="DE635" s="2119"/>
      <c r="DF635" s="2119"/>
      <c r="DG635" s="2119"/>
      <c r="DH635" s="2119">
        <f>SUM(DH610:DL634)</f>
        <v>13</v>
      </c>
      <c r="DI635" s="2119"/>
      <c r="DJ635" s="2119"/>
      <c r="DK635" s="2119"/>
      <c r="DL635" s="2119"/>
      <c r="DM635" s="2119">
        <f>SUM(DM610:DQ634)</f>
        <v>0</v>
      </c>
      <c r="DN635" s="2119"/>
      <c r="DO635" s="2119"/>
      <c r="DP635" s="2119"/>
      <c r="DQ635" s="2119"/>
      <c r="DR635" s="2119">
        <f>SUM(DR610:DV634)</f>
        <v>0</v>
      </c>
      <c r="DS635" s="2119"/>
      <c r="DT635" s="2119"/>
      <c r="DU635" s="2119"/>
      <c r="DV635" s="2119"/>
      <c r="DX635" s="2119">
        <f>SUM(DX610:EB634)</f>
        <v>0</v>
      </c>
      <c r="DY635" s="2119"/>
      <c r="DZ635" s="2119"/>
      <c r="EA635" s="2119"/>
      <c r="EB635" s="2119"/>
      <c r="EC635" s="2119">
        <f>SUM(EC610:EG634)</f>
        <v>0</v>
      </c>
      <c r="ED635" s="2119"/>
      <c r="EE635" s="2119"/>
      <c r="EF635" s="2119"/>
      <c r="EG635" s="2119"/>
      <c r="EH635" s="2119">
        <f>SUM(EH610:EL634)</f>
        <v>3493</v>
      </c>
      <c r="EI635" s="2119"/>
      <c r="EJ635" s="2119"/>
      <c r="EK635" s="2119"/>
      <c r="EL635" s="2119"/>
      <c r="EM635" s="2119">
        <f>SUM(EM610:EQ634)</f>
        <v>5649</v>
      </c>
      <c r="EN635" s="2119"/>
      <c r="EO635" s="2119"/>
      <c r="EP635" s="2119"/>
      <c r="EQ635" s="2119"/>
      <c r="ER635" s="2119">
        <f>SUM(ER610:EV634)</f>
        <v>0</v>
      </c>
      <c r="ES635" s="2119"/>
      <c r="ET635" s="2119"/>
      <c r="EU635" s="2119"/>
      <c r="EV635" s="2119"/>
      <c r="EW635" s="2119">
        <f>SUM(EW610:FA634)</f>
        <v>0</v>
      </c>
      <c r="EX635" s="2119"/>
      <c r="EY635" s="2119"/>
      <c r="EZ635" s="2119"/>
      <c r="FA635" s="2119"/>
    </row>
    <row r="636" spans="1:157" s="1839" customFormat="1" ht="13.2">
      <c r="B636" s="2501"/>
      <c r="C636" s="2171"/>
      <c r="D636" s="2171"/>
      <c r="E636" s="2171"/>
      <c r="F636" s="2171"/>
      <c r="G636" s="2171"/>
      <c r="H636" s="2171"/>
      <c r="I636" s="2171"/>
      <c r="J636" s="2171"/>
      <c r="K636" s="2171"/>
      <c r="L636" s="2171"/>
      <c r="M636" s="2171"/>
      <c r="N636" s="2500"/>
      <c r="O636" s="2261"/>
      <c r="P636" s="2262"/>
      <c r="Q636" s="2280"/>
      <c r="R636" s="2261"/>
      <c r="S636" s="2262"/>
      <c r="T636" s="2280"/>
      <c r="U636" s="2330"/>
      <c r="V636" s="2330"/>
      <c r="W636" s="2331"/>
      <c r="X636" s="2261"/>
      <c r="Y636" s="2262"/>
      <c r="Z636" s="2262"/>
      <c r="AA636" s="2262"/>
      <c r="AB636" s="2280"/>
      <c r="AC636" s="2319"/>
      <c r="AD636" s="2320"/>
      <c r="AE636" s="2321"/>
      <c r="AF636" s="2261"/>
      <c r="AG636" s="2262"/>
      <c r="AH636" s="2262"/>
      <c r="AI636" s="2262"/>
      <c r="AJ636" s="2280"/>
      <c r="AK636" s="2310"/>
      <c r="AL636" s="2311"/>
      <c r="AM636" s="2311"/>
      <c r="AN636" s="2312"/>
      <c r="AO636" s="2322"/>
      <c r="AP636" s="2322"/>
      <c r="AQ636" s="2322"/>
      <c r="AR636" s="2322"/>
      <c r="AS636" s="2322"/>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2452</v>
      </c>
      <c r="CM636" s="2102">
        <f>BN635+BS635+BX635+CC635+CH635+CM635</f>
        <v>133</v>
      </c>
      <c r="CN636" s="2118"/>
      <c r="CO636" s="2118"/>
      <c r="CP636" s="2118"/>
      <c r="CQ636" s="2103"/>
      <c r="CR636" s="698"/>
      <c r="CS636" s="181"/>
      <c r="CT636" s="181"/>
      <c r="CU636" s="181"/>
      <c r="CV636" s="181"/>
      <c r="CW636" s="181"/>
      <c r="CX636" s="181"/>
      <c r="CY636" s="181"/>
      <c r="CZ636" s="181"/>
      <c r="DA636" s="181"/>
      <c r="DB636" s="181"/>
      <c r="DC636" s="181"/>
      <c r="DD636" s="181"/>
      <c r="DE636" s="181"/>
      <c r="DF636" s="181"/>
    </row>
    <row r="637" spans="1:157" ht="13.2">
      <c r="B637" s="83" t="s">
        <v>117</v>
      </c>
      <c r="C637" s="1959" t="s">
        <v>2578</v>
      </c>
      <c r="D637" s="2027"/>
      <c r="E637" s="2027"/>
      <c r="F637" s="2027"/>
      <c r="G637" s="2027"/>
      <c r="H637" s="2027"/>
      <c r="I637" s="2027"/>
      <c r="J637" s="2027"/>
      <c r="K637" s="2027"/>
      <c r="L637" s="2027"/>
      <c r="M637" s="2027"/>
      <c r="N637" s="2502"/>
      <c r="O637" s="2272">
        <v>216</v>
      </c>
      <c r="P637" s="2273"/>
      <c r="Q637" s="2274"/>
      <c r="R637" s="1943">
        <v>420</v>
      </c>
      <c r="S637" s="1944"/>
      <c r="T637" s="1945"/>
      <c r="U637" s="2323">
        <v>3.85E-2</v>
      </c>
      <c r="V637" s="2324"/>
      <c r="W637" s="2325"/>
      <c r="X637" s="2269" t="s">
        <v>2164</v>
      </c>
      <c r="Y637" s="2270"/>
      <c r="Z637" s="2270"/>
      <c r="AA637" s="2270"/>
      <c r="AB637" s="2271"/>
      <c r="AC637" s="1979">
        <v>1</v>
      </c>
      <c r="AD637" s="1980"/>
      <c r="AE637" s="1981"/>
      <c r="AF637" s="2191">
        <v>1369365</v>
      </c>
      <c r="AG637" s="2192"/>
      <c r="AH637" s="2192"/>
      <c r="AI637" s="2192"/>
      <c r="AJ637" s="2193"/>
      <c r="AK637" s="2213"/>
      <c r="AL637" s="2214"/>
      <c r="AM637" s="2214"/>
      <c r="AN637" s="2215"/>
      <c r="AO637" s="2098">
        <f>26304239-(1/3)</f>
        <v>26304238.666666668</v>
      </c>
      <c r="AP637" s="2098"/>
      <c r="AQ637" s="2098"/>
      <c r="AR637" s="2098"/>
      <c r="AS637" s="2098"/>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12</v>
      </c>
      <c r="CC637" s="58"/>
      <c r="CD637" s="58"/>
      <c r="CE637" s="58"/>
      <c r="CF637" s="58"/>
      <c r="CG637" s="1472">
        <f>CC635*3</f>
        <v>381</v>
      </c>
      <c r="CH637" s="58"/>
      <c r="CI637" s="58"/>
      <c r="CJ637" s="58"/>
      <c r="CK637" s="58"/>
      <c r="CL637" s="1472">
        <f>CH635*4</f>
        <v>0</v>
      </c>
      <c r="CM637" s="58"/>
      <c r="CN637" s="58"/>
      <c r="CO637" s="58"/>
      <c r="CP637" s="58"/>
      <c r="CQ637" s="1472">
        <f>CM635*5</f>
        <v>0</v>
      </c>
      <c r="CS637" s="1472">
        <f>BR637+BW637+CB637+CG637+CL637+CQ637</f>
        <v>393</v>
      </c>
      <c r="CT637" s="134" t="s">
        <v>2454</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1959" t="s">
        <v>2139</v>
      </c>
      <c r="D638" s="2027"/>
      <c r="E638" s="2027"/>
      <c r="F638" s="2027"/>
      <c r="G638" s="2027"/>
      <c r="H638" s="2027"/>
      <c r="I638" s="2027"/>
      <c r="J638" s="2027"/>
      <c r="K638" s="2027"/>
      <c r="L638" s="2027"/>
      <c r="M638" s="2027"/>
      <c r="N638" s="2502"/>
      <c r="O638" s="2272">
        <v>192</v>
      </c>
      <c r="P638" s="2273"/>
      <c r="Q638" s="2274"/>
      <c r="R638" s="1943"/>
      <c r="S638" s="1944"/>
      <c r="T638" s="1945"/>
      <c r="U638" s="2323" t="s">
        <v>2579</v>
      </c>
      <c r="V638" s="2324"/>
      <c r="W638" s="2325"/>
      <c r="X638" s="2269" t="s">
        <v>492</v>
      </c>
      <c r="Y638" s="2270"/>
      <c r="Z638" s="2270"/>
      <c r="AA638" s="2270"/>
      <c r="AB638" s="2271"/>
      <c r="AC638" s="1979"/>
      <c r="AD638" s="1980"/>
      <c r="AE638" s="1981"/>
      <c r="AF638" s="2191"/>
      <c r="AG638" s="2192"/>
      <c r="AH638" s="2192"/>
      <c r="AI638" s="2192"/>
      <c r="AJ638" s="2193"/>
      <c r="AK638" s="2213"/>
      <c r="AL638" s="2214"/>
      <c r="AM638" s="2214"/>
      <c r="AN638" s="2215"/>
      <c r="AO638" s="2098">
        <f>4991538-(1/3)</f>
        <v>4991537.666666667</v>
      </c>
      <c r="AP638" s="2098"/>
      <c r="AQ638" s="2098"/>
      <c r="AR638" s="2098"/>
      <c r="AS638" s="2098"/>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498" t="e">
        <f t="shared" ref="DX638:DX662" si="22">DX610*(BN610/$BN$635)</f>
        <v>#VALUE!</v>
      </c>
      <c r="DY638" s="2498"/>
      <c r="DZ638" s="2498"/>
      <c r="EA638" s="2498"/>
      <c r="EB638" s="2498"/>
      <c r="EC638" s="2498" t="e">
        <f t="shared" ref="EC638:EC662" si="23">EC610*(BS610/$BS$635)</f>
        <v>#VALUE!</v>
      </c>
      <c r="ED638" s="2498"/>
      <c r="EE638" s="2498"/>
      <c r="EF638" s="2498"/>
      <c r="EG638" s="2498"/>
      <c r="EH638" s="2498">
        <f t="shared" ref="EH638:EH662" si="24">EH610*(BX610/$BX$635)</f>
        <v>1117.3333333333333</v>
      </c>
      <c r="EI638" s="2498"/>
      <c r="EJ638" s="2498"/>
      <c r="EK638" s="2498"/>
      <c r="EL638" s="2498"/>
      <c r="EM638" s="2498" t="e">
        <f t="shared" ref="EM638:EM662" si="25">EM610*(CC610/$CC$635)</f>
        <v>#VALUE!</v>
      </c>
      <c r="EN638" s="2498"/>
      <c r="EO638" s="2498"/>
      <c r="EP638" s="2498"/>
      <c r="EQ638" s="2498"/>
      <c r="ER638" s="2498" t="e">
        <f t="shared" ref="ER638:ER662" si="26">ER610*(CH610/$CH$635)</f>
        <v>#VALUE!</v>
      </c>
      <c r="ES638" s="2498"/>
      <c r="ET638" s="2498"/>
      <c r="EU638" s="2498"/>
      <c r="EV638" s="2498"/>
      <c r="EW638" s="2498" t="e">
        <f t="shared" ref="EW638:EW662" si="27">EW610*(CM610/$CM$635)</f>
        <v>#VALUE!</v>
      </c>
      <c r="EX638" s="2498"/>
      <c r="EY638" s="2498"/>
      <c r="EZ638" s="2498"/>
      <c r="FA638" s="2498"/>
    </row>
    <row r="639" spans="1:157" ht="12.75" customHeight="1">
      <c r="B639" s="84" t="s">
        <v>124</v>
      </c>
      <c r="C639" s="2027"/>
      <c r="D639" s="2027"/>
      <c r="E639" s="2027"/>
      <c r="F639" s="2027"/>
      <c r="G639" s="2027"/>
      <c r="H639" s="2027"/>
      <c r="I639" s="2027"/>
      <c r="J639" s="2027"/>
      <c r="K639" s="2027"/>
      <c r="L639" s="2027"/>
      <c r="M639" s="2027"/>
      <c r="N639" s="2502"/>
      <c r="O639" s="2272"/>
      <c r="P639" s="2273"/>
      <c r="Q639" s="2274"/>
      <c r="R639" s="1943"/>
      <c r="S639" s="1944"/>
      <c r="T639" s="1945"/>
      <c r="U639" s="2323"/>
      <c r="V639" s="2324"/>
      <c r="W639" s="2325"/>
      <c r="X639" s="2269" t="s">
        <v>1387</v>
      </c>
      <c r="Y639" s="2270"/>
      <c r="Z639" s="2270"/>
      <c r="AA639" s="2270"/>
      <c r="AB639" s="2271"/>
      <c r="AC639" s="1979"/>
      <c r="AD639" s="1980"/>
      <c r="AE639" s="1981"/>
      <c r="AF639" s="2191"/>
      <c r="AG639" s="2192"/>
      <c r="AH639" s="2192"/>
      <c r="AI639" s="2192"/>
      <c r="AJ639" s="2193"/>
      <c r="AK639" s="2213"/>
      <c r="AL639" s="2214"/>
      <c r="AM639" s="2214"/>
      <c r="AN639" s="2215"/>
      <c r="AO639" s="2098"/>
      <c r="AP639" s="2098"/>
      <c r="AQ639" s="2098"/>
      <c r="AR639" s="2098"/>
      <c r="AS639" s="2098"/>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498" t="e">
        <f t="shared" si="22"/>
        <v>#VALUE!</v>
      </c>
      <c r="DY639" s="2498"/>
      <c r="DZ639" s="2498"/>
      <c r="EA639" s="2498"/>
      <c r="EB639" s="2498"/>
      <c r="EC639" s="2498" t="e">
        <f t="shared" si="23"/>
        <v>#VALUE!</v>
      </c>
      <c r="ED639" s="2498"/>
      <c r="EE639" s="2498"/>
      <c r="EF639" s="2498"/>
      <c r="EG639" s="2498"/>
      <c r="EH639" s="2498">
        <f t="shared" si="24"/>
        <v>194</v>
      </c>
      <c r="EI639" s="2498"/>
      <c r="EJ639" s="2498"/>
      <c r="EK639" s="2498"/>
      <c r="EL639" s="2498"/>
      <c r="EM639" s="2498" t="e">
        <f t="shared" si="25"/>
        <v>#VALUE!</v>
      </c>
      <c r="EN639" s="2498"/>
      <c r="EO639" s="2498"/>
      <c r="EP639" s="2498"/>
      <c r="EQ639" s="2498"/>
      <c r="ER639" s="2498" t="e">
        <f t="shared" si="26"/>
        <v>#VALUE!</v>
      </c>
      <c r="ES639" s="2498"/>
      <c r="ET639" s="2498"/>
      <c r="EU639" s="2498"/>
      <c r="EV639" s="2498"/>
      <c r="EW639" s="2498" t="e">
        <f t="shared" si="27"/>
        <v>#VALUE!</v>
      </c>
      <c r="EX639" s="2498"/>
      <c r="EY639" s="2498"/>
      <c r="EZ639" s="2498"/>
      <c r="FA639" s="2498"/>
    </row>
    <row r="640" spans="1:157" ht="13.2">
      <c r="B640" s="84" t="s">
        <v>617</v>
      </c>
      <c r="C640" s="2027"/>
      <c r="D640" s="2027"/>
      <c r="E640" s="2027"/>
      <c r="F640" s="2027"/>
      <c r="G640" s="2027"/>
      <c r="H640" s="2027"/>
      <c r="I640" s="2027"/>
      <c r="J640" s="2027"/>
      <c r="K640" s="2027"/>
      <c r="L640" s="2027"/>
      <c r="M640" s="2027"/>
      <c r="N640" s="2502"/>
      <c r="O640" s="2272"/>
      <c r="P640" s="2273"/>
      <c r="Q640" s="2274"/>
      <c r="R640" s="1943"/>
      <c r="S640" s="1944"/>
      <c r="T640" s="1945"/>
      <c r="U640" s="2323"/>
      <c r="V640" s="2324"/>
      <c r="W640" s="2325"/>
      <c r="X640" s="2269" t="s">
        <v>1387</v>
      </c>
      <c r="Y640" s="2270"/>
      <c r="Z640" s="2270"/>
      <c r="AA640" s="2270"/>
      <c r="AB640" s="2271"/>
      <c r="AC640" s="1979"/>
      <c r="AD640" s="1980"/>
      <c r="AE640" s="1981"/>
      <c r="AF640" s="2191"/>
      <c r="AG640" s="2192"/>
      <c r="AH640" s="2192"/>
      <c r="AI640" s="2192"/>
      <c r="AJ640" s="2193"/>
      <c r="AK640" s="2213"/>
      <c r="AL640" s="2214"/>
      <c r="AM640" s="2214"/>
      <c r="AN640" s="2215"/>
      <c r="AO640" s="2098"/>
      <c r="AP640" s="2098"/>
      <c r="AQ640" s="2098"/>
      <c r="AR640" s="2098"/>
      <c r="AS640" s="2098"/>
      <c r="AT640" s="239"/>
      <c r="AU640" s="239"/>
      <c r="AV640" s="239"/>
      <c r="AW640" s="239"/>
      <c r="AX640" s="239"/>
      <c r="AY640" s="239"/>
      <c r="AZ640" s="61"/>
      <c r="BA640" s="58" t="s">
        <v>2164</v>
      </c>
      <c r="BB640" s="61"/>
      <c r="BC640" s="61"/>
      <c r="BD640" s="61"/>
      <c r="BE640" s="61"/>
      <c r="BF640" s="61"/>
      <c r="BG640" s="61"/>
      <c r="BH640" s="61"/>
      <c r="BI640" s="61"/>
      <c r="BJ640" s="61"/>
      <c r="BK640" s="61"/>
      <c r="BL640" s="61"/>
      <c r="BM640" s="61"/>
      <c r="BN640" s="2099">
        <f>IF(J772="SRO/Studio",O772,0)</f>
        <v>0</v>
      </c>
      <c r="BO640" s="2100"/>
      <c r="BP640" s="2100"/>
      <c r="BQ640" s="2100"/>
      <c r="BR640" s="2101"/>
      <c r="BS640" s="2106">
        <f>IF(J772="1 Bedroom",O772,0)</f>
        <v>0</v>
      </c>
      <c r="BT640" s="2106"/>
      <c r="BU640" s="2106"/>
      <c r="BV640" s="2106"/>
      <c r="BW640" s="2106"/>
      <c r="BX640" s="2106">
        <f>IF(J772="2 Bedrooms",O772,0)</f>
        <v>0</v>
      </c>
      <c r="BY640" s="2106"/>
      <c r="BZ640" s="2106"/>
      <c r="CA640" s="2106"/>
      <c r="CB640" s="2106"/>
      <c r="CC640" s="2106">
        <f>IF(J772="3 Bedrooms",O772,0)</f>
        <v>1</v>
      </c>
      <c r="CD640" s="2106"/>
      <c r="CE640" s="2106"/>
      <c r="CF640" s="2106"/>
      <c r="CG640" s="2106"/>
      <c r="CH640" s="2106">
        <f>IF(J772="4 Bedrooms",O772,0)</f>
        <v>0</v>
      </c>
      <c r="CI640" s="2106"/>
      <c r="CJ640" s="2106"/>
      <c r="CK640" s="2106"/>
      <c r="CL640" s="2106"/>
      <c r="CM640" s="2106">
        <f>IF(J772="5 Bedrooms",O772,0)</f>
        <v>0</v>
      </c>
      <c r="CN640" s="2106"/>
      <c r="CO640" s="2106"/>
      <c r="CP640" s="2106"/>
      <c r="CQ640" s="2106"/>
      <c r="CR640" s="265"/>
      <c r="CS640" s="58"/>
      <c r="CT640" s="58"/>
      <c r="CU640" s="58"/>
      <c r="CV640" s="58"/>
      <c r="CW640" s="58"/>
      <c r="CX640" s="58"/>
      <c r="CY640" s="58"/>
      <c r="CZ640" s="58"/>
      <c r="DA640" s="58"/>
      <c r="DB640" s="58"/>
      <c r="DC640" s="58"/>
      <c r="DD640" s="58"/>
      <c r="DE640" s="58"/>
      <c r="DF640" s="58"/>
      <c r="DX640" s="2498" t="e">
        <f t="shared" si="22"/>
        <v>#VALUE!</v>
      </c>
      <c r="DY640" s="2498"/>
      <c r="DZ640" s="2498"/>
      <c r="EA640" s="2498"/>
      <c r="EB640" s="2498"/>
      <c r="EC640" s="2498" t="e">
        <f t="shared" si="23"/>
        <v>#VALUE!</v>
      </c>
      <c r="ED640" s="2498"/>
      <c r="EE640" s="2498"/>
      <c r="EF640" s="2498"/>
      <c r="EG640" s="2498"/>
      <c r="EH640" s="2498">
        <f t="shared" si="24"/>
        <v>108.83333333333333</v>
      </c>
      <c r="EI640" s="2498"/>
      <c r="EJ640" s="2498"/>
      <c r="EK640" s="2498"/>
      <c r="EL640" s="2498"/>
      <c r="EM640" s="2498" t="e">
        <f t="shared" si="25"/>
        <v>#VALUE!</v>
      </c>
      <c r="EN640" s="2498"/>
      <c r="EO640" s="2498"/>
      <c r="EP640" s="2498"/>
      <c r="EQ640" s="2498"/>
      <c r="ER640" s="2498" t="e">
        <f t="shared" si="26"/>
        <v>#VALUE!</v>
      </c>
      <c r="ES640" s="2498"/>
      <c r="ET640" s="2498"/>
      <c r="EU640" s="2498"/>
      <c r="EV640" s="2498"/>
      <c r="EW640" s="2498" t="e">
        <f t="shared" si="27"/>
        <v>#VALUE!</v>
      </c>
      <c r="EX640" s="2498"/>
      <c r="EY640" s="2498"/>
      <c r="EZ640" s="2498"/>
      <c r="FA640" s="2498"/>
    </row>
    <row r="641" spans="1:157" ht="13.2">
      <c r="B641" s="84" t="s">
        <v>824</v>
      </c>
      <c r="C641" s="2027"/>
      <c r="D641" s="2027"/>
      <c r="E641" s="2027"/>
      <c r="F641" s="2027"/>
      <c r="G641" s="2027"/>
      <c r="H641" s="2027"/>
      <c r="I641" s="2027"/>
      <c r="J641" s="2027"/>
      <c r="K641" s="2027"/>
      <c r="L641" s="2027"/>
      <c r="M641" s="2027"/>
      <c r="N641" s="2502"/>
      <c r="O641" s="2272"/>
      <c r="P641" s="2273"/>
      <c r="Q641" s="2274"/>
      <c r="R641" s="1943"/>
      <c r="S641" s="1944"/>
      <c r="T641" s="1945"/>
      <c r="U641" s="2323"/>
      <c r="V641" s="2324"/>
      <c r="W641" s="2325"/>
      <c r="X641" s="2269" t="s">
        <v>1387</v>
      </c>
      <c r="Y641" s="2270"/>
      <c r="Z641" s="2270"/>
      <c r="AA641" s="2270"/>
      <c r="AB641" s="2271"/>
      <c r="AC641" s="1979"/>
      <c r="AD641" s="1980"/>
      <c r="AE641" s="1981"/>
      <c r="AF641" s="2191"/>
      <c r="AG641" s="2192"/>
      <c r="AH641" s="2192"/>
      <c r="AI641" s="2192"/>
      <c r="AJ641" s="2193"/>
      <c r="AK641" s="2213"/>
      <c r="AL641" s="2214"/>
      <c r="AM641" s="2214"/>
      <c r="AN641" s="2215"/>
      <c r="AO641" s="2098"/>
      <c r="AP641" s="2098"/>
      <c r="AQ641" s="2098"/>
      <c r="AR641" s="2098"/>
      <c r="AS641" s="2098"/>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99">
        <f>IF(J773="SRO/Studio",O773,0)</f>
        <v>0</v>
      </c>
      <c r="BO641" s="2100"/>
      <c r="BP641" s="2100"/>
      <c r="BQ641" s="2100"/>
      <c r="BR641" s="2101"/>
      <c r="BS641" s="2106">
        <f>IF(J773="1 Bedroom",O773,0)</f>
        <v>0</v>
      </c>
      <c r="BT641" s="2106"/>
      <c r="BU641" s="2106"/>
      <c r="BV641" s="2106"/>
      <c r="BW641" s="2106"/>
      <c r="BX641" s="2106">
        <f>IF(J773="2 Bedrooms",O773,0)</f>
        <v>0</v>
      </c>
      <c r="BY641" s="2106"/>
      <c r="BZ641" s="2106"/>
      <c r="CA641" s="2106"/>
      <c r="CB641" s="2106"/>
      <c r="CC641" s="2106">
        <f>IF(J773="3 Bedrooms",O773,0)</f>
        <v>0</v>
      </c>
      <c r="CD641" s="2106"/>
      <c r="CE641" s="2106"/>
      <c r="CF641" s="2106"/>
      <c r="CG641" s="2106"/>
      <c r="CH641" s="2106">
        <f>IF(J773="4 Bedrooms",O773,0)</f>
        <v>0</v>
      </c>
      <c r="CI641" s="2106"/>
      <c r="CJ641" s="2106"/>
      <c r="CK641" s="2106"/>
      <c r="CL641" s="2106"/>
      <c r="CM641" s="2106">
        <f>IF(J773="5 Bedrooms",O773,0)</f>
        <v>0</v>
      </c>
      <c r="CN641" s="2106"/>
      <c r="CO641" s="2106"/>
      <c r="CP641" s="2106"/>
      <c r="CQ641" s="2106"/>
      <c r="CR641" s="265"/>
      <c r="CS641" s="58"/>
      <c r="CT641" s="58"/>
      <c r="CU641" s="58"/>
      <c r="CV641" s="58"/>
      <c r="CW641" s="58"/>
      <c r="CX641" s="58"/>
      <c r="CY641" s="58"/>
      <c r="CZ641" s="58"/>
      <c r="DA641" s="58"/>
      <c r="DB641" s="58"/>
      <c r="DC641" s="58"/>
      <c r="DD641" s="58"/>
      <c r="DE641" s="58"/>
      <c r="DF641" s="58"/>
      <c r="DX641" s="2498" t="e">
        <f t="shared" si="22"/>
        <v>#VALUE!</v>
      </c>
      <c r="DY641" s="2498"/>
      <c r="DZ641" s="2498"/>
      <c r="EA641" s="2498"/>
      <c r="EB641" s="2498"/>
      <c r="EC641" s="2498" t="e">
        <f t="shared" si="23"/>
        <v>#VALUE!</v>
      </c>
      <c r="ED641" s="2498"/>
      <c r="EE641" s="2498"/>
      <c r="EF641" s="2498"/>
      <c r="EG641" s="2498"/>
      <c r="EH641" s="2498" t="e">
        <f t="shared" si="24"/>
        <v>#VALUE!</v>
      </c>
      <c r="EI641" s="2498"/>
      <c r="EJ641" s="2498"/>
      <c r="EK641" s="2498"/>
      <c r="EL641" s="2498"/>
      <c r="EM641" s="2498">
        <f t="shared" si="25"/>
        <v>789.82677165354335</v>
      </c>
      <c r="EN641" s="2498"/>
      <c r="EO641" s="2498"/>
      <c r="EP641" s="2498"/>
      <c r="EQ641" s="2498"/>
      <c r="ER641" s="2498" t="e">
        <f t="shared" si="26"/>
        <v>#VALUE!</v>
      </c>
      <c r="ES641" s="2498"/>
      <c r="ET641" s="2498"/>
      <c r="EU641" s="2498"/>
      <c r="EV641" s="2498"/>
      <c r="EW641" s="2498" t="e">
        <f t="shared" si="27"/>
        <v>#VALUE!</v>
      </c>
      <c r="EX641" s="2498"/>
      <c r="EY641" s="2498"/>
      <c r="EZ641" s="2498"/>
      <c r="FA641" s="2498"/>
    </row>
    <row r="642" spans="1:157" ht="13.2">
      <c r="B642" s="84" t="s">
        <v>620</v>
      </c>
      <c r="C642" s="2027"/>
      <c r="D642" s="2027"/>
      <c r="E642" s="2027"/>
      <c r="F642" s="2027"/>
      <c r="G642" s="2027"/>
      <c r="H642" s="2027"/>
      <c r="I642" s="2027"/>
      <c r="J642" s="2027"/>
      <c r="K642" s="2027"/>
      <c r="L642" s="2027"/>
      <c r="M642" s="2027"/>
      <c r="N642" s="2502"/>
      <c r="O642" s="2272"/>
      <c r="P642" s="2273"/>
      <c r="Q642" s="2274"/>
      <c r="R642" s="1943"/>
      <c r="S642" s="1944"/>
      <c r="T642" s="1945"/>
      <c r="U642" s="2323"/>
      <c r="V642" s="2324"/>
      <c r="W642" s="2325"/>
      <c r="X642" s="2269" t="s">
        <v>1387</v>
      </c>
      <c r="Y642" s="2270"/>
      <c r="Z642" s="2270"/>
      <c r="AA642" s="2270"/>
      <c r="AB642" s="2271"/>
      <c r="AC642" s="1979"/>
      <c r="AD642" s="1980"/>
      <c r="AE642" s="1981"/>
      <c r="AF642" s="2191"/>
      <c r="AG642" s="2192"/>
      <c r="AH642" s="2192"/>
      <c r="AI642" s="2192"/>
      <c r="AJ642" s="2193"/>
      <c r="AK642" s="2213"/>
      <c r="AL642" s="2214"/>
      <c r="AM642" s="2214"/>
      <c r="AN642" s="2215"/>
      <c r="AO642" s="2098"/>
      <c r="AP642" s="2098"/>
      <c r="AQ642" s="2098"/>
      <c r="AR642" s="2098"/>
      <c r="AS642" s="209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99">
        <f>IF(J774="SRO/Studio",O774,0)</f>
        <v>0</v>
      </c>
      <c r="BO642" s="2100"/>
      <c r="BP642" s="2100"/>
      <c r="BQ642" s="2100"/>
      <c r="BR642" s="2101"/>
      <c r="BS642" s="2106">
        <f>IF(J774="1 Bedroom",O774,0)</f>
        <v>0</v>
      </c>
      <c r="BT642" s="2106"/>
      <c r="BU642" s="2106"/>
      <c r="BV642" s="2106"/>
      <c r="BW642" s="2106"/>
      <c r="BX642" s="2106">
        <f>IF(J774="2 Bedrooms",O774,0)</f>
        <v>0</v>
      </c>
      <c r="BY642" s="2106"/>
      <c r="BZ642" s="2106"/>
      <c r="CA642" s="2106"/>
      <c r="CB642" s="2106"/>
      <c r="CC642" s="2106">
        <f>IF(J774="3 Bedrooms",O774,0)</f>
        <v>0</v>
      </c>
      <c r="CD642" s="2106"/>
      <c r="CE642" s="2106"/>
      <c r="CF642" s="2106"/>
      <c r="CG642" s="2106"/>
      <c r="CH642" s="2106">
        <f>IF(J774="4 Bedrooms",O774,0)</f>
        <v>0</v>
      </c>
      <c r="CI642" s="2106"/>
      <c r="CJ642" s="2106"/>
      <c r="CK642" s="2106"/>
      <c r="CL642" s="2106"/>
      <c r="CM642" s="2106">
        <f>IF(J774="5 Bedrooms",O774,0)</f>
        <v>0</v>
      </c>
      <c r="CN642" s="2106"/>
      <c r="CO642" s="2106"/>
      <c r="CP642" s="2106"/>
      <c r="CQ642" s="2106"/>
      <c r="CR642" s="1823"/>
      <c r="CV642" s="58"/>
      <c r="CW642" s="58"/>
      <c r="CX642" s="58"/>
      <c r="CY642" s="58"/>
      <c r="CZ642" s="58"/>
      <c r="DA642" s="58"/>
      <c r="DB642" s="58"/>
      <c r="DC642" s="58"/>
      <c r="DD642" s="58"/>
      <c r="DE642" s="58"/>
      <c r="DF642" s="58"/>
      <c r="DX642" s="2498" t="e">
        <f t="shared" si="22"/>
        <v>#VALUE!</v>
      </c>
      <c r="DY642" s="2498"/>
      <c r="DZ642" s="2498"/>
      <c r="EA642" s="2498"/>
      <c r="EB642" s="2498"/>
      <c r="EC642" s="2498" t="e">
        <f t="shared" si="23"/>
        <v>#VALUE!</v>
      </c>
      <c r="ED642" s="2498"/>
      <c r="EE642" s="2498"/>
      <c r="EF642" s="2498"/>
      <c r="EG642" s="2498"/>
      <c r="EH642" s="2498" t="e">
        <f t="shared" si="24"/>
        <v>#VALUE!</v>
      </c>
      <c r="EI642" s="2498"/>
      <c r="EJ642" s="2498"/>
      <c r="EK642" s="2498"/>
      <c r="EL642" s="2498"/>
      <c r="EM642" s="2498">
        <f t="shared" si="25"/>
        <v>630.44094488188978</v>
      </c>
      <c r="EN642" s="2498"/>
      <c r="EO642" s="2498"/>
      <c r="EP642" s="2498"/>
      <c r="EQ642" s="2498"/>
      <c r="ER642" s="2498" t="e">
        <f t="shared" si="26"/>
        <v>#VALUE!</v>
      </c>
      <c r="ES642" s="2498"/>
      <c r="ET642" s="2498"/>
      <c r="EU642" s="2498"/>
      <c r="EV642" s="2498"/>
      <c r="EW642" s="2498" t="e">
        <f t="shared" si="27"/>
        <v>#VALUE!</v>
      </c>
      <c r="EX642" s="2498"/>
      <c r="EY642" s="2498"/>
      <c r="EZ642" s="2498"/>
      <c r="FA642" s="2498"/>
    </row>
    <row r="643" spans="1:157" ht="13.2">
      <c r="B643" s="84" t="s">
        <v>488</v>
      </c>
      <c r="C643" s="2027"/>
      <c r="D643" s="2027"/>
      <c r="E643" s="2027"/>
      <c r="F643" s="2027"/>
      <c r="G643" s="2027"/>
      <c r="H643" s="2027"/>
      <c r="I643" s="2027"/>
      <c r="J643" s="2027"/>
      <c r="K643" s="2027"/>
      <c r="L643" s="2027"/>
      <c r="M643" s="2027"/>
      <c r="N643" s="2502"/>
      <c r="O643" s="2272"/>
      <c r="P643" s="2273"/>
      <c r="Q643" s="2274"/>
      <c r="R643" s="1943"/>
      <c r="S643" s="1944"/>
      <c r="T643" s="1945"/>
      <c r="U643" s="2323"/>
      <c r="V643" s="2324"/>
      <c r="W643" s="2325"/>
      <c r="X643" s="2269" t="s">
        <v>1387</v>
      </c>
      <c r="Y643" s="2270"/>
      <c r="Z643" s="2270"/>
      <c r="AA643" s="2270"/>
      <c r="AB643" s="2271"/>
      <c r="AC643" s="1979"/>
      <c r="AD643" s="1980"/>
      <c r="AE643" s="1981"/>
      <c r="AF643" s="2191"/>
      <c r="AG643" s="2192"/>
      <c r="AH643" s="2192"/>
      <c r="AI643" s="2192"/>
      <c r="AJ643" s="2193"/>
      <c r="AK643" s="2213"/>
      <c r="AL643" s="2214"/>
      <c r="AM643" s="2214"/>
      <c r="AN643" s="2215"/>
      <c r="AO643" s="2098"/>
      <c r="AP643" s="2098"/>
      <c r="AQ643" s="2098"/>
      <c r="AR643" s="2098"/>
      <c r="AS643" s="209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99">
        <f>IF(J775="SRO/Studio",O775,0)</f>
        <v>0</v>
      </c>
      <c r="BO643" s="2100"/>
      <c r="BP643" s="2100"/>
      <c r="BQ643" s="2100"/>
      <c r="BR643" s="2101"/>
      <c r="BS643" s="2106">
        <f>IF(J775="1 Bedroom",O775,0)</f>
        <v>0</v>
      </c>
      <c r="BT643" s="2106"/>
      <c r="BU643" s="2106"/>
      <c r="BV643" s="2106"/>
      <c r="BW643" s="2106"/>
      <c r="BX643" s="2106">
        <f>IF(J775="2 Bedrooms",O775,0)</f>
        <v>0</v>
      </c>
      <c r="BY643" s="2106"/>
      <c r="BZ643" s="2106"/>
      <c r="CA643" s="2106"/>
      <c r="CB643" s="2106"/>
      <c r="CC643" s="2106">
        <f>IF(J775="3 Bedrooms",O775,0)</f>
        <v>0</v>
      </c>
      <c r="CD643" s="2106"/>
      <c r="CE643" s="2106"/>
      <c r="CF643" s="2106"/>
      <c r="CG643" s="2106"/>
      <c r="CH643" s="2106">
        <f>IF(J775="4 Bedrooms",O775,0)</f>
        <v>0</v>
      </c>
      <c r="CI643" s="2106"/>
      <c r="CJ643" s="2106"/>
      <c r="CK643" s="2106"/>
      <c r="CL643" s="2106"/>
      <c r="CM643" s="2106">
        <f>IF(J775="5 Bedrooms",O775,0)</f>
        <v>0</v>
      </c>
      <c r="CN643" s="2106"/>
      <c r="CO643" s="2106"/>
      <c r="CP643" s="2106"/>
      <c r="CQ643" s="2106"/>
      <c r="CV643" s="58"/>
      <c r="CW643" s="58"/>
      <c r="CX643" s="58"/>
      <c r="CY643" s="58"/>
      <c r="CZ643" s="58"/>
      <c r="DA643" s="58"/>
      <c r="DB643" s="58"/>
      <c r="DC643" s="58"/>
      <c r="DD643" s="58"/>
      <c r="DE643" s="58"/>
      <c r="DF643" s="58"/>
      <c r="DX643" s="2498" t="e">
        <f t="shared" si="22"/>
        <v>#VALUE!</v>
      </c>
      <c r="DY643" s="2498"/>
      <c r="DZ643" s="2498"/>
      <c r="EA643" s="2498"/>
      <c r="EB643" s="2498"/>
      <c r="EC643" s="2498" t="e">
        <f t="shared" si="23"/>
        <v>#VALUE!</v>
      </c>
      <c r="ED643" s="2498"/>
      <c r="EE643" s="2498"/>
      <c r="EF643" s="2498"/>
      <c r="EG643" s="2498"/>
      <c r="EH643" s="2498" t="e">
        <f t="shared" si="24"/>
        <v>#VALUE!</v>
      </c>
      <c r="EI643" s="2498"/>
      <c r="EJ643" s="2498"/>
      <c r="EK643" s="2498"/>
      <c r="EL643" s="2498"/>
      <c r="EM643" s="2498">
        <f t="shared" si="25"/>
        <v>136.96062992125985</v>
      </c>
      <c r="EN643" s="2498"/>
      <c r="EO643" s="2498"/>
      <c r="EP643" s="2498"/>
      <c r="EQ643" s="2498"/>
      <c r="ER643" s="2498" t="e">
        <f t="shared" si="26"/>
        <v>#VALUE!</v>
      </c>
      <c r="ES643" s="2498"/>
      <c r="ET643" s="2498"/>
      <c r="EU643" s="2498"/>
      <c r="EV643" s="2498"/>
      <c r="EW643" s="2498" t="e">
        <f t="shared" si="27"/>
        <v>#VALUE!</v>
      </c>
      <c r="EX643" s="2498"/>
      <c r="EY643" s="2498"/>
      <c r="EZ643" s="2498"/>
      <c r="FA643" s="2498"/>
    </row>
    <row r="644" spans="1:157" ht="13.2">
      <c r="B644" s="84" t="s">
        <v>489</v>
      </c>
      <c r="C644" s="2027"/>
      <c r="D644" s="2027"/>
      <c r="E644" s="2027"/>
      <c r="F644" s="2027"/>
      <c r="G644" s="2027"/>
      <c r="H644" s="2027"/>
      <c r="I644" s="2027"/>
      <c r="J644" s="2027"/>
      <c r="K644" s="2027"/>
      <c r="L644" s="2027"/>
      <c r="M644" s="2027"/>
      <c r="N644" s="2502"/>
      <c r="O644" s="2272"/>
      <c r="P644" s="2273"/>
      <c r="Q644" s="2274"/>
      <c r="R644" s="1943"/>
      <c r="S644" s="1944"/>
      <c r="T644" s="1945"/>
      <c r="U644" s="2323"/>
      <c r="V644" s="2324"/>
      <c r="W644" s="2325"/>
      <c r="X644" s="2269" t="s">
        <v>1387</v>
      </c>
      <c r="Y644" s="2270"/>
      <c r="Z644" s="2270"/>
      <c r="AA644" s="2270"/>
      <c r="AB644" s="2271"/>
      <c r="AC644" s="1979"/>
      <c r="AD644" s="1980"/>
      <c r="AE644" s="1981"/>
      <c r="AF644" s="2191"/>
      <c r="AG644" s="2192"/>
      <c r="AH644" s="2192"/>
      <c r="AI644" s="2192"/>
      <c r="AJ644" s="2193"/>
      <c r="AK644" s="2213"/>
      <c r="AL644" s="2214"/>
      <c r="AM644" s="2214"/>
      <c r="AN644" s="2215"/>
      <c r="AO644" s="2098"/>
      <c r="AP644" s="2098"/>
      <c r="AQ644" s="2098"/>
      <c r="AR644" s="2098"/>
      <c r="AS644" s="2098"/>
      <c r="AT644" s="239"/>
      <c r="AU644" s="239"/>
      <c r="AV644" s="239"/>
      <c r="AW644" s="239"/>
      <c r="AX644" s="239"/>
      <c r="AY644" s="239"/>
      <c r="AZ644" s="61"/>
      <c r="BA644" s="61"/>
      <c r="BB644" s="61"/>
      <c r="BC644" s="61"/>
      <c r="BD644" s="61"/>
      <c r="BE644" s="61"/>
      <c r="BF644" s="61"/>
      <c r="BG644" s="61"/>
      <c r="BH644" s="61"/>
      <c r="BI644" s="61"/>
      <c r="BJ644" s="61"/>
      <c r="BK644" s="61"/>
      <c r="BL644" s="61"/>
      <c r="BM644" s="61"/>
      <c r="BN644" s="2104">
        <f>SUM(BN640:BR643)</f>
        <v>0</v>
      </c>
      <c r="BO644" s="2114"/>
      <c r="BP644" s="2114"/>
      <c r="BQ644" s="2114"/>
      <c r="BR644" s="2105"/>
      <c r="BS644" s="2115">
        <f>SUM(BS640:BW643)</f>
        <v>0</v>
      </c>
      <c r="BT644" s="2116"/>
      <c r="BU644" s="2116"/>
      <c r="BV644" s="2116"/>
      <c r="BW644" s="2117"/>
      <c r="BX644" s="2115">
        <f>SUM(BX640:CB643)</f>
        <v>0</v>
      </c>
      <c r="BY644" s="2116"/>
      <c r="BZ644" s="2116"/>
      <c r="CA644" s="2116"/>
      <c r="CB644" s="2117"/>
      <c r="CC644" s="2115">
        <f>SUM(CC640:CG643)</f>
        <v>1</v>
      </c>
      <c r="CD644" s="2116"/>
      <c r="CE644" s="2116"/>
      <c r="CF644" s="2116"/>
      <c r="CG644" s="2117"/>
      <c r="CH644" s="2115">
        <f>SUM(CH640:CL643)</f>
        <v>0</v>
      </c>
      <c r="CI644" s="2116"/>
      <c r="CJ644" s="2116"/>
      <c r="CK644" s="2116"/>
      <c r="CL644" s="2117"/>
      <c r="CM644" s="2115">
        <f>SUM(CM640:CQ643)</f>
        <v>0</v>
      </c>
      <c r="CN644" s="2116"/>
      <c r="CO644" s="2116"/>
      <c r="CP644" s="2116"/>
      <c r="CQ644" s="2117"/>
      <c r="CS644" s="1472">
        <f>BN644+BS644+BX644+CC644+CH644+CM644</f>
        <v>1</v>
      </c>
      <c r="CT644" s="134" t="s">
        <v>2451</v>
      </c>
      <c r="CU644" s="58"/>
      <c r="CV644" s="58"/>
      <c r="CW644" s="58"/>
      <c r="CX644" s="58"/>
      <c r="CY644" s="58"/>
      <c r="CZ644" s="58"/>
      <c r="DA644" s="58"/>
      <c r="DB644" s="58"/>
      <c r="DC644" s="58"/>
      <c r="DD644" s="58"/>
      <c r="DE644" s="58"/>
      <c r="DF644" s="58"/>
      <c r="DX644" s="2498" t="e">
        <f t="shared" si="22"/>
        <v>#VALUE!</v>
      </c>
      <c r="DY644" s="2498"/>
      <c r="DZ644" s="2498"/>
      <c r="EA644" s="2498"/>
      <c r="EB644" s="2498"/>
      <c r="EC644" s="2498" t="e">
        <f t="shared" si="23"/>
        <v>#VALUE!</v>
      </c>
      <c r="ED644" s="2498"/>
      <c r="EE644" s="2498"/>
      <c r="EF644" s="2498"/>
      <c r="EG644" s="2498"/>
      <c r="EH644" s="2498" t="e">
        <f t="shared" si="24"/>
        <v>#VALUE!</v>
      </c>
      <c r="EI644" s="2498"/>
      <c r="EJ644" s="2498"/>
      <c r="EK644" s="2498"/>
      <c r="EL644" s="2498"/>
      <c r="EM644" s="2498">
        <f t="shared" si="25"/>
        <v>76.566929133858267</v>
      </c>
      <c r="EN644" s="2498"/>
      <c r="EO644" s="2498"/>
      <c r="EP644" s="2498"/>
      <c r="EQ644" s="2498"/>
      <c r="ER644" s="2498" t="e">
        <f t="shared" si="26"/>
        <v>#VALUE!</v>
      </c>
      <c r="ES644" s="2498"/>
      <c r="ET644" s="2498"/>
      <c r="EU644" s="2498"/>
      <c r="EV644" s="2498"/>
      <c r="EW644" s="2498" t="e">
        <f t="shared" si="27"/>
        <v>#VALUE!</v>
      </c>
      <c r="EX644" s="2498"/>
      <c r="EY644" s="2498"/>
      <c r="EZ644" s="2498"/>
      <c r="FA644" s="2498"/>
    </row>
    <row r="645" spans="1:157" ht="13.2">
      <c r="B645" s="84" t="s">
        <v>495</v>
      </c>
      <c r="C645" s="2027"/>
      <c r="D645" s="2027"/>
      <c r="E645" s="2027"/>
      <c r="F645" s="2027"/>
      <c r="G645" s="2027"/>
      <c r="H645" s="2027"/>
      <c r="I645" s="2027"/>
      <c r="J645" s="2027"/>
      <c r="K645" s="2027"/>
      <c r="L645" s="2027"/>
      <c r="M645" s="2027"/>
      <c r="N645" s="2502"/>
      <c r="O645" s="2272"/>
      <c r="P645" s="2273"/>
      <c r="Q645" s="2274"/>
      <c r="R645" s="1943"/>
      <c r="S645" s="1944"/>
      <c r="T645" s="1945"/>
      <c r="U645" s="2323"/>
      <c r="V645" s="2324"/>
      <c r="W645" s="2325"/>
      <c r="X645" s="2269" t="s">
        <v>1387</v>
      </c>
      <c r="Y645" s="2270"/>
      <c r="Z645" s="2270"/>
      <c r="AA645" s="2270"/>
      <c r="AB645" s="2271"/>
      <c r="AC645" s="1979"/>
      <c r="AD645" s="1980"/>
      <c r="AE645" s="1981"/>
      <c r="AF645" s="2191"/>
      <c r="AG645" s="2192"/>
      <c r="AH645" s="2192"/>
      <c r="AI645" s="2192"/>
      <c r="AJ645" s="2193"/>
      <c r="AK645" s="2213"/>
      <c r="AL645" s="2214"/>
      <c r="AM645" s="2214"/>
      <c r="AN645" s="2215"/>
      <c r="AO645" s="2098"/>
      <c r="AP645" s="2098"/>
      <c r="AQ645" s="2098"/>
      <c r="AR645" s="2098"/>
      <c r="AS645" s="2098"/>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2453</v>
      </c>
      <c r="CU645" s="58"/>
      <c r="CV645" s="58"/>
      <c r="CW645" s="58"/>
      <c r="CX645" s="58"/>
      <c r="CY645" s="58"/>
      <c r="CZ645" s="58"/>
      <c r="DA645" s="58"/>
      <c r="DB645" s="58"/>
      <c r="DC645" s="58"/>
      <c r="DD645" s="58"/>
      <c r="DE645" s="58"/>
      <c r="DF645" s="58"/>
      <c r="DX645" s="2498" t="e">
        <f t="shared" si="22"/>
        <v>#VALUE!</v>
      </c>
      <c r="DY645" s="2498"/>
      <c r="DZ645" s="2498"/>
      <c r="EA645" s="2498"/>
      <c r="EB645" s="2498"/>
      <c r="EC645" s="2498" t="e">
        <f t="shared" si="23"/>
        <v>#VALUE!</v>
      </c>
      <c r="ED645" s="2498"/>
      <c r="EE645" s="2498"/>
      <c r="EF645" s="2498"/>
      <c r="EG645" s="2498"/>
      <c r="EH645" s="2498" t="e">
        <f t="shared" si="24"/>
        <v>#VALUE!</v>
      </c>
      <c r="EI645" s="2498"/>
      <c r="EJ645" s="2498"/>
      <c r="EK645" s="2498"/>
      <c r="EL645" s="2498"/>
      <c r="EM645" s="2498" t="e">
        <f t="shared" si="25"/>
        <v>#VALUE!</v>
      </c>
      <c r="EN645" s="2498"/>
      <c r="EO645" s="2498"/>
      <c r="EP645" s="2498"/>
      <c r="EQ645" s="2498"/>
      <c r="ER645" s="2498" t="e">
        <f t="shared" si="26"/>
        <v>#VALUE!</v>
      </c>
      <c r="ES645" s="2498"/>
      <c r="ET645" s="2498"/>
      <c r="EU645" s="2498"/>
      <c r="EV645" s="2498"/>
      <c r="EW645" s="2498" t="e">
        <f t="shared" si="27"/>
        <v>#VALUE!</v>
      </c>
      <c r="EX645" s="2498"/>
      <c r="EY645" s="2498"/>
      <c r="EZ645" s="2498"/>
      <c r="FA645" s="2498"/>
    </row>
    <row r="646" spans="1:157" ht="13.2">
      <c r="B646" s="84" t="s">
        <v>682</v>
      </c>
      <c r="C646" s="2027"/>
      <c r="D646" s="2027"/>
      <c r="E646" s="2027"/>
      <c r="F646" s="2027"/>
      <c r="G646" s="2027"/>
      <c r="H646" s="2027"/>
      <c r="I646" s="2027"/>
      <c r="J646" s="2027"/>
      <c r="K646" s="2027"/>
      <c r="L646" s="2027"/>
      <c r="M646" s="2027"/>
      <c r="N646" s="2502"/>
      <c r="O646" s="2272"/>
      <c r="P646" s="2273"/>
      <c r="Q646" s="2274"/>
      <c r="R646" s="1943"/>
      <c r="S646" s="1944"/>
      <c r="T646" s="1945"/>
      <c r="U646" s="2323"/>
      <c r="V646" s="2324"/>
      <c r="W646" s="2325"/>
      <c r="X646" s="2269" t="s">
        <v>1387</v>
      </c>
      <c r="Y646" s="2270"/>
      <c r="Z646" s="2270"/>
      <c r="AA646" s="2270"/>
      <c r="AB646" s="2271"/>
      <c r="AC646" s="1979"/>
      <c r="AD646" s="1980"/>
      <c r="AE646" s="1981"/>
      <c r="AF646" s="2191"/>
      <c r="AG646" s="2192"/>
      <c r="AH646" s="2192"/>
      <c r="AI646" s="2192"/>
      <c r="AJ646" s="2193"/>
      <c r="AK646" s="2213"/>
      <c r="AL646" s="2214"/>
      <c r="AM646" s="2214"/>
      <c r="AN646" s="2215"/>
      <c r="AO646" s="2098"/>
      <c r="AP646" s="2098"/>
      <c r="AQ646" s="2098"/>
      <c r="AR646" s="2098"/>
      <c r="AS646" s="209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498" t="e">
        <f t="shared" si="22"/>
        <v>#VALUE!</v>
      </c>
      <c r="DY646" s="2498"/>
      <c r="DZ646" s="2498"/>
      <c r="EA646" s="2498"/>
      <c r="EB646" s="2498"/>
      <c r="EC646" s="2498" t="e">
        <f t="shared" si="23"/>
        <v>#VALUE!</v>
      </c>
      <c r="ED646" s="2498"/>
      <c r="EE646" s="2498"/>
      <c r="EF646" s="2498"/>
      <c r="EG646" s="2498"/>
      <c r="EH646" s="2498" t="e">
        <f t="shared" si="24"/>
        <v>#VALUE!</v>
      </c>
      <c r="EI646" s="2498"/>
      <c r="EJ646" s="2498"/>
      <c r="EK646" s="2498"/>
      <c r="EL646" s="2498"/>
      <c r="EM646" s="2498" t="e">
        <f t="shared" si="25"/>
        <v>#VALUE!</v>
      </c>
      <c r="EN646" s="2498"/>
      <c r="EO646" s="2498"/>
      <c r="EP646" s="2498"/>
      <c r="EQ646" s="2498"/>
      <c r="ER646" s="2498" t="e">
        <f t="shared" si="26"/>
        <v>#VALUE!</v>
      </c>
      <c r="ES646" s="2498"/>
      <c r="ET646" s="2498"/>
      <c r="EU646" s="2498"/>
      <c r="EV646" s="2498"/>
      <c r="EW646" s="2498" t="e">
        <f t="shared" si="27"/>
        <v>#VALUE!</v>
      </c>
      <c r="EX646" s="2498"/>
      <c r="EY646" s="2498"/>
      <c r="EZ646" s="2498"/>
      <c r="FA646" s="2498"/>
    </row>
    <row r="647" spans="1:157" ht="13.2">
      <c r="B647" s="84" t="s">
        <v>374</v>
      </c>
      <c r="C647" s="2027"/>
      <c r="D647" s="2027"/>
      <c r="E647" s="2027"/>
      <c r="F647" s="2027"/>
      <c r="G647" s="2027"/>
      <c r="H647" s="2027"/>
      <c r="I647" s="2027"/>
      <c r="J647" s="2027"/>
      <c r="K647" s="2027"/>
      <c r="L647" s="2027"/>
      <c r="M647" s="2027"/>
      <c r="N647" s="2502"/>
      <c r="O647" s="2272"/>
      <c r="P647" s="2273"/>
      <c r="Q647" s="2274"/>
      <c r="R647" s="1943"/>
      <c r="S647" s="1944"/>
      <c r="T647" s="1945"/>
      <c r="U647" s="2323"/>
      <c r="V647" s="2324"/>
      <c r="W647" s="2325"/>
      <c r="X647" s="2269" t="s">
        <v>1387</v>
      </c>
      <c r="Y647" s="2270"/>
      <c r="Z647" s="2270"/>
      <c r="AA647" s="2270"/>
      <c r="AB647" s="2271"/>
      <c r="AC647" s="1979"/>
      <c r="AD647" s="1980"/>
      <c r="AE647" s="1981"/>
      <c r="AF647" s="2191"/>
      <c r="AG647" s="2192"/>
      <c r="AH647" s="2192"/>
      <c r="AI647" s="2192"/>
      <c r="AJ647" s="2193"/>
      <c r="AK647" s="2213"/>
      <c r="AL647" s="2214"/>
      <c r="AM647" s="2214"/>
      <c r="AN647" s="2215"/>
      <c r="AO647" s="2098"/>
      <c r="AP647" s="2098"/>
      <c r="AQ647" s="2098"/>
      <c r="AR647" s="2098"/>
      <c r="AS647" s="209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498" t="e">
        <f t="shared" si="22"/>
        <v>#VALUE!</v>
      </c>
      <c r="DY647" s="2498"/>
      <c r="DZ647" s="2498"/>
      <c r="EA647" s="2498"/>
      <c r="EB647" s="2498"/>
      <c r="EC647" s="2498" t="e">
        <f t="shared" si="23"/>
        <v>#VALUE!</v>
      </c>
      <c r="ED647" s="2498"/>
      <c r="EE647" s="2498"/>
      <c r="EF647" s="2498"/>
      <c r="EG647" s="2498"/>
      <c r="EH647" s="2498" t="e">
        <f t="shared" si="24"/>
        <v>#VALUE!</v>
      </c>
      <c r="EI647" s="2498"/>
      <c r="EJ647" s="2498"/>
      <c r="EK647" s="2498"/>
      <c r="EL647" s="2498"/>
      <c r="EM647" s="2498" t="e">
        <f t="shared" si="25"/>
        <v>#VALUE!</v>
      </c>
      <c r="EN647" s="2498"/>
      <c r="EO647" s="2498"/>
      <c r="EP647" s="2498"/>
      <c r="EQ647" s="2498"/>
      <c r="ER647" s="2498" t="e">
        <f t="shared" si="26"/>
        <v>#VALUE!</v>
      </c>
      <c r="ES647" s="2498"/>
      <c r="ET647" s="2498"/>
      <c r="EU647" s="2498"/>
      <c r="EV647" s="2498"/>
      <c r="EW647" s="2498" t="e">
        <f t="shared" si="27"/>
        <v>#VALUE!</v>
      </c>
      <c r="EX647" s="2498"/>
      <c r="EY647" s="2498"/>
      <c r="EZ647" s="2498"/>
      <c r="FA647" s="2498"/>
    </row>
    <row r="648" spans="1:157" ht="13.2">
      <c r="B648" s="84" t="s">
        <v>375</v>
      </c>
      <c r="C648" s="2027"/>
      <c r="D648" s="2027"/>
      <c r="E648" s="2027"/>
      <c r="F648" s="2027"/>
      <c r="G648" s="2027"/>
      <c r="H648" s="2027"/>
      <c r="I648" s="2027"/>
      <c r="J648" s="2027"/>
      <c r="K648" s="2027"/>
      <c r="L648" s="2027"/>
      <c r="M648" s="2027"/>
      <c r="N648" s="2502"/>
      <c r="O648" s="2272"/>
      <c r="P648" s="2273"/>
      <c r="Q648" s="2274"/>
      <c r="R648" s="1943"/>
      <c r="S648" s="1944"/>
      <c r="T648" s="1945"/>
      <c r="U648" s="2323"/>
      <c r="V648" s="2324"/>
      <c r="W648" s="2325"/>
      <c r="X648" s="2269" t="s">
        <v>1387</v>
      </c>
      <c r="Y648" s="2270"/>
      <c r="Z648" s="2270"/>
      <c r="AA648" s="2270"/>
      <c r="AB648" s="2271"/>
      <c r="AC648" s="1979"/>
      <c r="AD648" s="1980"/>
      <c r="AE648" s="1981"/>
      <c r="AF648" s="2191"/>
      <c r="AG648" s="2192"/>
      <c r="AH648" s="2192"/>
      <c r="AI648" s="2192"/>
      <c r="AJ648" s="2193"/>
      <c r="AK648" s="2213"/>
      <c r="AL648" s="2214"/>
      <c r="AM648" s="2214"/>
      <c r="AN648" s="2215"/>
      <c r="AO648" s="2098"/>
      <c r="AP648" s="2098"/>
      <c r="AQ648" s="2098"/>
      <c r="AR648" s="2098"/>
      <c r="AS648" s="209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99">
        <f t="shared" ref="BN648:BN657" si="28">IF(J786="SRO/Studio",O786,0)</f>
        <v>0</v>
      </c>
      <c r="BO648" s="2100"/>
      <c r="BP648" s="2100"/>
      <c r="BQ648" s="2100"/>
      <c r="BR648" s="2101"/>
      <c r="BS648" s="2106">
        <f t="shared" ref="BS648:BS657" si="29">IF(J786="1 Bedroom",O786,0)</f>
        <v>0</v>
      </c>
      <c r="BT648" s="2106"/>
      <c r="BU648" s="2106"/>
      <c r="BV648" s="2106"/>
      <c r="BW648" s="2106"/>
      <c r="BX648" s="2106">
        <f t="shared" ref="BX648:BX657" si="30">IF(J786="2 Bedrooms",O786,0)</f>
        <v>0</v>
      </c>
      <c r="BY648" s="2106"/>
      <c r="BZ648" s="2106"/>
      <c r="CA648" s="2106"/>
      <c r="CB648" s="2106"/>
      <c r="CC648" s="2106">
        <f t="shared" ref="CC648:CC657" si="31">IF(J786="3 Bedrooms",O786,0)</f>
        <v>0</v>
      </c>
      <c r="CD648" s="2106"/>
      <c r="CE648" s="2106"/>
      <c r="CF648" s="2106"/>
      <c r="CG648" s="2106"/>
      <c r="CH648" s="2106">
        <f t="shared" ref="CH648:CH657" si="32">IF(J786="4 Bedrooms",O786,0)</f>
        <v>0</v>
      </c>
      <c r="CI648" s="2106"/>
      <c r="CJ648" s="2106"/>
      <c r="CK648" s="2106"/>
      <c r="CL648" s="2106"/>
      <c r="CM648" s="2106">
        <f t="shared" ref="CM648:CM657" si="33">IF(J786="5 Bedrooms",O786,0)</f>
        <v>0</v>
      </c>
      <c r="CN648" s="2106"/>
      <c r="CO648" s="2106"/>
      <c r="CP648" s="2106"/>
      <c r="CQ648" s="2106"/>
      <c r="CR648" s="265"/>
      <c r="CS648" s="2099">
        <f>IF(AND(BN648&gt;=1,AH786&gt;=0.1,AH786&lt;=1),O786,0)</f>
        <v>0</v>
      </c>
      <c r="CT648" s="2100"/>
      <c r="CU648" s="2100"/>
      <c r="CV648" s="2100"/>
      <c r="CW648" s="2101"/>
      <c r="CX648" s="2099">
        <f>IF(AND(BS648&gt;=1,AH786&gt;=0.1,AH786&lt;=1),O786,0)</f>
        <v>0</v>
      </c>
      <c r="CY648" s="2100"/>
      <c r="CZ648" s="2100"/>
      <c r="DA648" s="2100"/>
      <c r="DB648" s="2101"/>
      <c r="DC648" s="2099">
        <f>IF(AND(BX648&gt;=1,AH786&gt;=0.1,AH786&lt;=1),O786,0)</f>
        <v>0</v>
      </c>
      <c r="DD648" s="2100"/>
      <c r="DE648" s="2100"/>
      <c r="DF648" s="2100"/>
      <c r="DG648" s="2101"/>
      <c r="DH648" s="2099">
        <f>IF(AND(CC648&gt;=1,AH786&gt;=0.1,AH786&lt;=1),O786,0)</f>
        <v>0</v>
      </c>
      <c r="DI648" s="2100"/>
      <c r="DJ648" s="2100"/>
      <c r="DK648" s="2100"/>
      <c r="DL648" s="2101"/>
      <c r="DM648" s="2099">
        <f>IF(AND(CH648&gt;=1,AH786&gt;=0.1,AH786&lt;=1),O786,0)</f>
        <v>0</v>
      </c>
      <c r="DN648" s="2100"/>
      <c r="DO648" s="2100"/>
      <c r="DP648" s="2100"/>
      <c r="DQ648" s="2101"/>
      <c r="DR648" s="2099">
        <f>IF(AND(CM648&gt;=1,AH786&gt;=0.1,AH786&lt;=1),O786,0)</f>
        <v>0</v>
      </c>
      <c r="DS648" s="2100"/>
      <c r="DT648" s="2100"/>
      <c r="DU648" s="2100"/>
      <c r="DV648" s="2101"/>
      <c r="DX648" s="2498" t="e">
        <f t="shared" si="22"/>
        <v>#VALUE!</v>
      </c>
      <c r="DY648" s="2498"/>
      <c r="DZ648" s="2498"/>
      <c r="EA648" s="2498"/>
      <c r="EB648" s="2498"/>
      <c r="EC648" s="2498" t="e">
        <f t="shared" si="23"/>
        <v>#VALUE!</v>
      </c>
      <c r="ED648" s="2498"/>
      <c r="EE648" s="2498"/>
      <c r="EF648" s="2498"/>
      <c r="EG648" s="2498"/>
      <c r="EH648" s="2498" t="e">
        <f t="shared" si="24"/>
        <v>#VALUE!</v>
      </c>
      <c r="EI648" s="2498"/>
      <c r="EJ648" s="2498"/>
      <c r="EK648" s="2498"/>
      <c r="EL648" s="2498"/>
      <c r="EM648" s="2498" t="e">
        <f t="shared" si="25"/>
        <v>#VALUE!</v>
      </c>
      <c r="EN648" s="2498"/>
      <c r="EO648" s="2498"/>
      <c r="EP648" s="2498"/>
      <c r="EQ648" s="2498"/>
      <c r="ER648" s="2498" t="e">
        <f t="shared" si="26"/>
        <v>#VALUE!</v>
      </c>
      <c r="ES648" s="2498"/>
      <c r="ET648" s="2498"/>
      <c r="EU648" s="2498"/>
      <c r="EV648" s="2498"/>
      <c r="EW648" s="2498" t="e">
        <f t="shared" si="27"/>
        <v>#VALUE!</v>
      </c>
      <c r="EX648" s="2498"/>
      <c r="EY648" s="2498"/>
      <c r="EZ648" s="2498"/>
      <c r="FA648" s="2498"/>
    </row>
    <row r="649" spans="1:157" ht="13.2">
      <c r="B649" s="2109" t="s">
        <v>133</v>
      </c>
      <c r="C649" s="2110"/>
      <c r="D649" s="2110"/>
      <c r="E649" s="2110"/>
      <c r="F649" s="2110"/>
      <c r="G649" s="2110"/>
      <c r="H649" s="2110"/>
      <c r="I649" s="2110"/>
      <c r="J649" s="2110"/>
      <c r="K649" s="2110"/>
      <c r="L649" s="2110"/>
      <c r="M649" s="2110"/>
      <c r="N649" s="2110"/>
      <c r="O649" s="2110"/>
      <c r="P649" s="2110"/>
      <c r="Q649" s="2110"/>
      <c r="R649" s="2110"/>
      <c r="S649" s="2110"/>
      <c r="T649" s="2110"/>
      <c r="U649" s="2110"/>
      <c r="V649" s="2110"/>
      <c r="W649" s="2110"/>
      <c r="X649" s="2110"/>
      <c r="Y649" s="2110"/>
      <c r="Z649" s="2110"/>
      <c r="AA649" s="2110"/>
      <c r="AB649" s="2110"/>
      <c r="AC649" s="2110"/>
      <c r="AD649" s="2110"/>
      <c r="AE649" s="2110"/>
      <c r="AF649" s="2110"/>
      <c r="AG649" s="2110"/>
      <c r="AH649" s="2110"/>
      <c r="AI649" s="2110"/>
      <c r="AJ649" s="2110"/>
      <c r="AK649" s="2110"/>
      <c r="AL649" s="2110"/>
      <c r="AM649" s="2110"/>
      <c r="AN649" s="2112"/>
      <c r="AO649" s="2059">
        <f>SUM(AO637:AR648)</f>
        <v>31295776.333333336</v>
      </c>
      <c r="AP649" s="2060"/>
      <c r="AQ649" s="2060"/>
      <c r="AR649" s="2060"/>
      <c r="AS649" s="2061"/>
      <c r="AZ649" s="58"/>
      <c r="BA649" s="58"/>
      <c r="BB649" s="58"/>
      <c r="BC649" s="58"/>
      <c r="BD649" s="58"/>
      <c r="BE649" s="58"/>
      <c r="BF649" s="58"/>
      <c r="BG649" s="58"/>
      <c r="BH649" s="58"/>
      <c r="BI649" s="58"/>
      <c r="BJ649" s="58"/>
      <c r="BK649" s="58"/>
      <c r="BL649" s="58"/>
      <c r="BM649" s="58"/>
      <c r="BN649" s="2099">
        <f t="shared" si="28"/>
        <v>0</v>
      </c>
      <c r="BO649" s="2100"/>
      <c r="BP649" s="2100"/>
      <c r="BQ649" s="2100"/>
      <c r="BR649" s="2101"/>
      <c r="BS649" s="2106">
        <f t="shared" si="29"/>
        <v>0</v>
      </c>
      <c r="BT649" s="2106"/>
      <c r="BU649" s="2106"/>
      <c r="BV649" s="2106"/>
      <c r="BW649" s="2106"/>
      <c r="BX649" s="2106">
        <f t="shared" si="30"/>
        <v>0</v>
      </c>
      <c r="BY649" s="2106"/>
      <c r="BZ649" s="2106"/>
      <c r="CA649" s="2106"/>
      <c r="CB649" s="2106"/>
      <c r="CC649" s="2106">
        <f t="shared" si="31"/>
        <v>0</v>
      </c>
      <c r="CD649" s="2106"/>
      <c r="CE649" s="2106"/>
      <c r="CF649" s="2106"/>
      <c r="CG649" s="2106"/>
      <c r="CH649" s="2106">
        <f t="shared" si="32"/>
        <v>0</v>
      </c>
      <c r="CI649" s="2106"/>
      <c r="CJ649" s="2106"/>
      <c r="CK649" s="2106"/>
      <c r="CL649" s="2106"/>
      <c r="CM649" s="2106">
        <f t="shared" si="33"/>
        <v>0</v>
      </c>
      <c r="CN649" s="2106"/>
      <c r="CO649" s="2106"/>
      <c r="CP649" s="2106"/>
      <c r="CQ649" s="2106"/>
      <c r="CR649" s="265"/>
      <c r="CS649" s="2099">
        <f t="shared" ref="CS649:CS657" si="34">IF(AND(BN649&gt;=1,AH787&gt;=0.1,AH787&lt;=1),O787,0)</f>
        <v>0</v>
      </c>
      <c r="CT649" s="2100"/>
      <c r="CU649" s="2100"/>
      <c r="CV649" s="2100"/>
      <c r="CW649" s="2101"/>
      <c r="CX649" s="2099">
        <f t="shared" ref="CX649:CX657" si="35">IF(AND(BS649&gt;=1,AH787&gt;=0.1,AH787&lt;=1),O787,0)</f>
        <v>0</v>
      </c>
      <c r="CY649" s="2100"/>
      <c r="CZ649" s="2100"/>
      <c r="DA649" s="2100"/>
      <c r="DB649" s="2101"/>
      <c r="DC649" s="2099">
        <f t="shared" ref="DC649:DC657" si="36">IF(AND(BX649&gt;=1,AH787&gt;=0.1,AH787&lt;=1),O787,0)</f>
        <v>0</v>
      </c>
      <c r="DD649" s="2100"/>
      <c r="DE649" s="2100"/>
      <c r="DF649" s="2100"/>
      <c r="DG649" s="2101"/>
      <c r="DH649" s="2099">
        <f t="shared" ref="DH649:DH657" si="37">IF(AND(CC649&gt;=1,AH787&gt;=0.1,AH787&lt;=1),O787,0)</f>
        <v>0</v>
      </c>
      <c r="DI649" s="2100"/>
      <c r="DJ649" s="2100"/>
      <c r="DK649" s="2100"/>
      <c r="DL649" s="2101"/>
      <c r="DM649" s="2099">
        <f t="shared" ref="DM649:DM657" si="38">IF(AND(CH649&gt;=1,AH787&gt;=0.1,AH787&lt;=1),O787,0)</f>
        <v>0</v>
      </c>
      <c r="DN649" s="2100"/>
      <c r="DO649" s="2100"/>
      <c r="DP649" s="2100"/>
      <c r="DQ649" s="2101"/>
      <c r="DR649" s="2099">
        <f t="shared" ref="DR649:DR657" si="39">IF(AND(CM649&gt;=1,AH787&gt;=0.1,AH787&lt;=1),O787,0)</f>
        <v>0</v>
      </c>
      <c r="DS649" s="2100"/>
      <c r="DT649" s="2100"/>
      <c r="DU649" s="2100"/>
      <c r="DV649" s="2101"/>
      <c r="DX649" s="2498" t="e">
        <f t="shared" si="22"/>
        <v>#VALUE!</v>
      </c>
      <c r="DY649" s="2498"/>
      <c r="DZ649" s="2498"/>
      <c r="EA649" s="2498"/>
      <c r="EB649" s="2498"/>
      <c r="EC649" s="2498" t="e">
        <f t="shared" si="23"/>
        <v>#VALUE!</v>
      </c>
      <c r="ED649" s="2498"/>
      <c r="EE649" s="2498"/>
      <c r="EF649" s="2498"/>
      <c r="EG649" s="2498"/>
      <c r="EH649" s="2498" t="e">
        <f t="shared" si="24"/>
        <v>#VALUE!</v>
      </c>
      <c r="EI649" s="2498"/>
      <c r="EJ649" s="2498"/>
      <c r="EK649" s="2498"/>
      <c r="EL649" s="2498"/>
      <c r="EM649" s="2498" t="e">
        <f t="shared" si="25"/>
        <v>#VALUE!</v>
      </c>
      <c r="EN649" s="2498"/>
      <c r="EO649" s="2498"/>
      <c r="EP649" s="2498"/>
      <c r="EQ649" s="2498"/>
      <c r="ER649" s="2498" t="e">
        <f t="shared" si="26"/>
        <v>#VALUE!</v>
      </c>
      <c r="ES649" s="2498"/>
      <c r="ET649" s="2498"/>
      <c r="EU649" s="2498"/>
      <c r="EV649" s="2498"/>
      <c r="EW649" s="2498" t="e">
        <f t="shared" si="27"/>
        <v>#VALUE!</v>
      </c>
      <c r="EX649" s="2498"/>
      <c r="EY649" s="2498"/>
      <c r="EZ649" s="2498"/>
      <c r="FA649" s="2498"/>
    </row>
    <row r="650" spans="1:157" ht="12.75" customHeight="1">
      <c r="B650" s="2109" t="s">
        <v>275</v>
      </c>
      <c r="C650" s="2110"/>
      <c r="D650" s="2110"/>
      <c r="E650" s="2110"/>
      <c r="F650" s="2110"/>
      <c r="G650" s="2110"/>
      <c r="H650" s="2110"/>
      <c r="I650" s="2110"/>
      <c r="J650" s="2110"/>
      <c r="K650" s="2110"/>
      <c r="L650" s="2110"/>
      <c r="M650" s="2110"/>
      <c r="N650" s="2110"/>
      <c r="O650" s="2110"/>
      <c r="P650" s="2110"/>
      <c r="Q650" s="2110"/>
      <c r="R650" s="2110"/>
      <c r="S650" s="2110"/>
      <c r="T650" s="2110"/>
      <c r="U650" s="2110"/>
      <c r="V650" s="2110"/>
      <c r="W650" s="2110"/>
      <c r="X650" s="2110"/>
      <c r="Y650" s="2110"/>
      <c r="Z650" s="2110"/>
      <c r="AA650" s="2110"/>
      <c r="AB650" s="2110"/>
      <c r="AC650" s="2110"/>
      <c r="AD650" s="2110"/>
      <c r="AE650" s="2110"/>
      <c r="AF650" s="2110"/>
      <c r="AG650" s="2110"/>
      <c r="AH650" s="2110"/>
      <c r="AI650" s="2110"/>
      <c r="AJ650" s="2110"/>
      <c r="AK650" s="2110"/>
      <c r="AL650" s="2110"/>
      <c r="AM650" s="2110"/>
      <c r="AN650" s="2112"/>
      <c r="AO650" s="1951">
        <f>25682421+6918424</f>
        <v>32600845</v>
      </c>
      <c r="AP650" s="1952"/>
      <c r="AQ650" s="1952"/>
      <c r="AR650" s="1952"/>
      <c r="AS650" s="1953"/>
      <c r="AZ650" s="61"/>
      <c r="BA650" s="61"/>
      <c r="BB650" s="61"/>
      <c r="BC650" s="61"/>
      <c r="BD650" s="61"/>
      <c r="BE650" s="61"/>
      <c r="BF650" s="61"/>
      <c r="BG650" s="61"/>
      <c r="BH650" s="61"/>
      <c r="BI650" s="61"/>
      <c r="BJ650" s="61"/>
      <c r="BK650" s="61"/>
      <c r="BL650" s="61"/>
      <c r="BM650" s="61"/>
      <c r="BN650" s="2099">
        <f t="shared" si="28"/>
        <v>0</v>
      </c>
      <c r="BO650" s="2100"/>
      <c r="BP650" s="2100"/>
      <c r="BQ650" s="2100"/>
      <c r="BR650" s="2101"/>
      <c r="BS650" s="2106">
        <f t="shared" si="29"/>
        <v>0</v>
      </c>
      <c r="BT650" s="2106"/>
      <c r="BU650" s="2106"/>
      <c r="BV650" s="2106"/>
      <c r="BW650" s="2106"/>
      <c r="BX650" s="2106">
        <f t="shared" si="30"/>
        <v>0</v>
      </c>
      <c r="BY650" s="2106"/>
      <c r="BZ650" s="2106"/>
      <c r="CA650" s="2106"/>
      <c r="CB650" s="2106"/>
      <c r="CC650" s="2106">
        <f t="shared" si="31"/>
        <v>0</v>
      </c>
      <c r="CD650" s="2106"/>
      <c r="CE650" s="2106"/>
      <c r="CF650" s="2106"/>
      <c r="CG650" s="2106"/>
      <c r="CH650" s="2106">
        <f t="shared" si="32"/>
        <v>0</v>
      </c>
      <c r="CI650" s="2106"/>
      <c r="CJ650" s="2106"/>
      <c r="CK650" s="2106"/>
      <c r="CL650" s="2106"/>
      <c r="CM650" s="2106">
        <f t="shared" si="33"/>
        <v>0</v>
      </c>
      <c r="CN650" s="2106"/>
      <c r="CO650" s="2106"/>
      <c r="CP650" s="2106"/>
      <c r="CQ650" s="2106"/>
      <c r="CR650" s="265"/>
      <c r="CS650" s="2099">
        <f t="shared" si="34"/>
        <v>0</v>
      </c>
      <c r="CT650" s="2100"/>
      <c r="CU650" s="2100"/>
      <c r="CV650" s="2100"/>
      <c r="CW650" s="2101"/>
      <c r="CX650" s="2099">
        <f t="shared" si="35"/>
        <v>0</v>
      </c>
      <c r="CY650" s="2100"/>
      <c r="CZ650" s="2100"/>
      <c r="DA650" s="2100"/>
      <c r="DB650" s="2101"/>
      <c r="DC650" s="2099">
        <f t="shared" si="36"/>
        <v>0</v>
      </c>
      <c r="DD650" s="2100"/>
      <c r="DE650" s="2100"/>
      <c r="DF650" s="2100"/>
      <c r="DG650" s="2101"/>
      <c r="DH650" s="2099">
        <f t="shared" si="37"/>
        <v>0</v>
      </c>
      <c r="DI650" s="2100"/>
      <c r="DJ650" s="2100"/>
      <c r="DK650" s="2100"/>
      <c r="DL650" s="2101"/>
      <c r="DM650" s="2099">
        <f t="shared" si="38"/>
        <v>0</v>
      </c>
      <c r="DN650" s="2100"/>
      <c r="DO650" s="2100"/>
      <c r="DP650" s="2100"/>
      <c r="DQ650" s="2101"/>
      <c r="DR650" s="2099">
        <f t="shared" si="39"/>
        <v>0</v>
      </c>
      <c r="DS650" s="2100"/>
      <c r="DT650" s="2100"/>
      <c r="DU650" s="2100"/>
      <c r="DV650" s="2101"/>
      <c r="DX650" s="2498" t="e">
        <f t="shared" si="22"/>
        <v>#VALUE!</v>
      </c>
      <c r="DY650" s="2498"/>
      <c r="DZ650" s="2498"/>
      <c r="EA650" s="2498"/>
      <c r="EB650" s="2498"/>
      <c r="EC650" s="2498" t="e">
        <f t="shared" si="23"/>
        <v>#VALUE!</v>
      </c>
      <c r="ED650" s="2498"/>
      <c r="EE650" s="2498"/>
      <c r="EF650" s="2498"/>
      <c r="EG650" s="2498"/>
      <c r="EH650" s="2498" t="e">
        <f t="shared" si="24"/>
        <v>#VALUE!</v>
      </c>
      <c r="EI650" s="2498"/>
      <c r="EJ650" s="2498"/>
      <c r="EK650" s="2498"/>
      <c r="EL650" s="2498"/>
      <c r="EM650" s="2498" t="e">
        <f t="shared" si="25"/>
        <v>#VALUE!</v>
      </c>
      <c r="EN650" s="2498"/>
      <c r="EO650" s="2498"/>
      <c r="EP650" s="2498"/>
      <c r="EQ650" s="2498"/>
      <c r="ER650" s="2498" t="e">
        <f t="shared" si="26"/>
        <v>#VALUE!</v>
      </c>
      <c r="ES650" s="2498"/>
      <c r="ET650" s="2498"/>
      <c r="EU650" s="2498"/>
      <c r="EV650" s="2498"/>
      <c r="EW650" s="2498" t="e">
        <f t="shared" si="27"/>
        <v>#VALUE!</v>
      </c>
      <c r="EX650" s="2498"/>
      <c r="EY650" s="2498"/>
      <c r="EZ650" s="2498"/>
      <c r="FA650" s="2498"/>
    </row>
    <row r="651" spans="1:157" ht="12.75" customHeight="1">
      <c r="B651" s="2332" t="s">
        <v>276</v>
      </c>
      <c r="C651" s="2111"/>
      <c r="D651" s="2111"/>
      <c r="E651" s="2111"/>
      <c r="F651" s="2111"/>
      <c r="G651" s="2111"/>
      <c r="H651" s="2111"/>
      <c r="I651" s="2111"/>
      <c r="J651" s="2111"/>
      <c r="K651" s="2111"/>
      <c r="L651" s="2111"/>
      <c r="M651" s="2111"/>
      <c r="N651" s="2111"/>
      <c r="O651" s="2111"/>
      <c r="P651" s="2111"/>
      <c r="Q651" s="2111"/>
      <c r="R651" s="2111"/>
      <c r="S651" s="2111"/>
      <c r="T651" s="2111"/>
      <c r="U651" s="2111"/>
      <c r="V651" s="2111"/>
      <c r="W651" s="2111"/>
      <c r="X651" s="2111"/>
      <c r="Y651" s="2111"/>
      <c r="Z651" s="2111"/>
      <c r="AA651" s="2111"/>
      <c r="AB651" s="2111"/>
      <c r="AC651" s="2111"/>
      <c r="AD651" s="2111"/>
      <c r="AE651" s="2111"/>
      <c r="AF651" s="2111"/>
      <c r="AG651" s="2111"/>
      <c r="AH651" s="2111"/>
      <c r="AI651" s="2111"/>
      <c r="AJ651" s="2111"/>
      <c r="AK651" s="2111"/>
      <c r="AL651" s="2111"/>
      <c r="AM651" s="2111"/>
      <c r="AN651" s="2333"/>
      <c r="AO651" s="2059">
        <f>AO649+AO650</f>
        <v>63896621.333333336</v>
      </c>
      <c r="AP651" s="2060"/>
      <c r="AQ651" s="2060"/>
      <c r="AR651" s="2060"/>
      <c r="AS651" s="2061"/>
      <c r="AZ651" s="61"/>
      <c r="BA651" s="61"/>
      <c r="BB651" s="61"/>
      <c r="BC651" s="61"/>
      <c r="BD651" s="61"/>
      <c r="BE651" s="61"/>
      <c r="BF651" s="61"/>
      <c r="BG651" s="61"/>
      <c r="BH651" s="61"/>
      <c r="BI651" s="61"/>
      <c r="BJ651" s="61"/>
      <c r="BK651" s="61"/>
      <c r="BL651" s="61"/>
      <c r="BM651" s="61"/>
      <c r="BN651" s="2099">
        <f t="shared" si="28"/>
        <v>0</v>
      </c>
      <c r="BO651" s="2100"/>
      <c r="BP651" s="2100"/>
      <c r="BQ651" s="2100"/>
      <c r="BR651" s="2101"/>
      <c r="BS651" s="2106">
        <f t="shared" si="29"/>
        <v>0</v>
      </c>
      <c r="BT651" s="2106"/>
      <c r="BU651" s="2106"/>
      <c r="BV651" s="2106"/>
      <c r="BW651" s="2106"/>
      <c r="BX651" s="2106">
        <f t="shared" si="30"/>
        <v>0</v>
      </c>
      <c r="BY651" s="2106"/>
      <c r="BZ651" s="2106"/>
      <c r="CA651" s="2106"/>
      <c r="CB651" s="2106"/>
      <c r="CC651" s="2106">
        <f t="shared" si="31"/>
        <v>0</v>
      </c>
      <c r="CD651" s="2106"/>
      <c r="CE651" s="2106"/>
      <c r="CF651" s="2106"/>
      <c r="CG651" s="2106"/>
      <c r="CH651" s="2106">
        <f t="shared" si="32"/>
        <v>0</v>
      </c>
      <c r="CI651" s="2106"/>
      <c r="CJ651" s="2106"/>
      <c r="CK651" s="2106"/>
      <c r="CL651" s="2106"/>
      <c r="CM651" s="2106">
        <f t="shared" si="33"/>
        <v>0</v>
      </c>
      <c r="CN651" s="2106"/>
      <c r="CO651" s="2106"/>
      <c r="CP651" s="2106"/>
      <c r="CQ651" s="2106"/>
      <c r="CR651" s="265"/>
      <c r="CS651" s="2099">
        <f t="shared" si="34"/>
        <v>0</v>
      </c>
      <c r="CT651" s="2100"/>
      <c r="CU651" s="2100"/>
      <c r="CV651" s="2100"/>
      <c r="CW651" s="2101"/>
      <c r="CX651" s="2099">
        <f t="shared" si="35"/>
        <v>0</v>
      </c>
      <c r="CY651" s="2100"/>
      <c r="CZ651" s="2100"/>
      <c r="DA651" s="2100"/>
      <c r="DB651" s="2101"/>
      <c r="DC651" s="2099">
        <f t="shared" si="36"/>
        <v>0</v>
      </c>
      <c r="DD651" s="2100"/>
      <c r="DE651" s="2100"/>
      <c r="DF651" s="2100"/>
      <c r="DG651" s="2101"/>
      <c r="DH651" s="2099">
        <f t="shared" si="37"/>
        <v>0</v>
      </c>
      <c r="DI651" s="2100"/>
      <c r="DJ651" s="2100"/>
      <c r="DK651" s="2100"/>
      <c r="DL651" s="2101"/>
      <c r="DM651" s="2099">
        <f t="shared" si="38"/>
        <v>0</v>
      </c>
      <c r="DN651" s="2100"/>
      <c r="DO651" s="2100"/>
      <c r="DP651" s="2100"/>
      <c r="DQ651" s="2101"/>
      <c r="DR651" s="2099">
        <f t="shared" si="39"/>
        <v>0</v>
      </c>
      <c r="DS651" s="2100"/>
      <c r="DT651" s="2100"/>
      <c r="DU651" s="2100"/>
      <c r="DV651" s="2101"/>
      <c r="DX651" s="2498" t="e">
        <f t="shared" si="22"/>
        <v>#VALUE!</v>
      </c>
      <c r="DY651" s="2498"/>
      <c r="DZ651" s="2498"/>
      <c r="EA651" s="2498"/>
      <c r="EB651" s="2498"/>
      <c r="EC651" s="2498" t="e">
        <f t="shared" si="23"/>
        <v>#VALUE!</v>
      </c>
      <c r="ED651" s="2498"/>
      <c r="EE651" s="2498"/>
      <c r="EF651" s="2498"/>
      <c r="EG651" s="2498"/>
      <c r="EH651" s="2498" t="e">
        <f t="shared" si="24"/>
        <v>#VALUE!</v>
      </c>
      <c r="EI651" s="2498"/>
      <c r="EJ651" s="2498"/>
      <c r="EK651" s="2498"/>
      <c r="EL651" s="2498"/>
      <c r="EM651" s="2498" t="e">
        <f t="shared" si="25"/>
        <v>#VALUE!</v>
      </c>
      <c r="EN651" s="2498"/>
      <c r="EO651" s="2498"/>
      <c r="EP651" s="2498"/>
      <c r="EQ651" s="2498"/>
      <c r="ER651" s="2498" t="e">
        <f t="shared" si="26"/>
        <v>#VALUE!</v>
      </c>
      <c r="ES651" s="2498"/>
      <c r="ET651" s="2498"/>
      <c r="EU651" s="2498"/>
      <c r="EV651" s="2498"/>
      <c r="EW651" s="2498" t="e">
        <f t="shared" si="27"/>
        <v>#VALUE!</v>
      </c>
      <c r="EX651" s="2498"/>
      <c r="EY651" s="2498"/>
      <c r="EZ651" s="2498"/>
      <c r="FA651" s="2498"/>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99">
        <f t="shared" si="28"/>
        <v>0</v>
      </c>
      <c r="BO652" s="2100"/>
      <c r="BP652" s="2100"/>
      <c r="BQ652" s="2100"/>
      <c r="BR652" s="2101"/>
      <c r="BS652" s="2106">
        <f t="shared" si="29"/>
        <v>0</v>
      </c>
      <c r="BT652" s="2106"/>
      <c r="BU652" s="2106"/>
      <c r="BV652" s="2106"/>
      <c r="BW652" s="2106"/>
      <c r="BX652" s="2106">
        <f t="shared" si="30"/>
        <v>0</v>
      </c>
      <c r="BY652" s="2106"/>
      <c r="BZ652" s="2106"/>
      <c r="CA652" s="2106"/>
      <c r="CB652" s="2106"/>
      <c r="CC652" s="2106">
        <f t="shared" si="31"/>
        <v>0</v>
      </c>
      <c r="CD652" s="2106"/>
      <c r="CE652" s="2106"/>
      <c r="CF652" s="2106"/>
      <c r="CG652" s="2106"/>
      <c r="CH652" s="2106">
        <f t="shared" si="32"/>
        <v>0</v>
      </c>
      <c r="CI652" s="2106"/>
      <c r="CJ652" s="2106"/>
      <c r="CK652" s="2106"/>
      <c r="CL652" s="2106"/>
      <c r="CM652" s="2106">
        <f t="shared" si="33"/>
        <v>0</v>
      </c>
      <c r="CN652" s="2106"/>
      <c r="CO652" s="2106"/>
      <c r="CP652" s="2106"/>
      <c r="CQ652" s="2106"/>
      <c r="CR652" s="265"/>
      <c r="CS652" s="2099">
        <f t="shared" si="34"/>
        <v>0</v>
      </c>
      <c r="CT652" s="2100"/>
      <c r="CU652" s="2100"/>
      <c r="CV652" s="2100"/>
      <c r="CW652" s="2101"/>
      <c r="CX652" s="2099">
        <f t="shared" si="35"/>
        <v>0</v>
      </c>
      <c r="CY652" s="2100"/>
      <c r="CZ652" s="2100"/>
      <c r="DA652" s="2100"/>
      <c r="DB652" s="2101"/>
      <c r="DC652" s="2099">
        <f t="shared" si="36"/>
        <v>0</v>
      </c>
      <c r="DD652" s="2100"/>
      <c r="DE652" s="2100"/>
      <c r="DF652" s="2100"/>
      <c r="DG652" s="2101"/>
      <c r="DH652" s="2099">
        <f t="shared" si="37"/>
        <v>0</v>
      </c>
      <c r="DI652" s="2100"/>
      <c r="DJ652" s="2100"/>
      <c r="DK652" s="2100"/>
      <c r="DL652" s="2101"/>
      <c r="DM652" s="2099">
        <f t="shared" si="38"/>
        <v>0</v>
      </c>
      <c r="DN652" s="2100"/>
      <c r="DO652" s="2100"/>
      <c r="DP652" s="2100"/>
      <c r="DQ652" s="2101"/>
      <c r="DR652" s="2099">
        <f t="shared" si="39"/>
        <v>0</v>
      </c>
      <c r="DS652" s="2100"/>
      <c r="DT652" s="2100"/>
      <c r="DU652" s="2100"/>
      <c r="DV652" s="2101"/>
      <c r="DX652" s="2498" t="e">
        <f t="shared" si="22"/>
        <v>#VALUE!</v>
      </c>
      <c r="DY652" s="2498"/>
      <c r="DZ652" s="2498"/>
      <c r="EA652" s="2498"/>
      <c r="EB652" s="2498"/>
      <c r="EC652" s="2498" t="e">
        <f t="shared" si="23"/>
        <v>#VALUE!</v>
      </c>
      <c r="ED652" s="2498"/>
      <c r="EE652" s="2498"/>
      <c r="EF652" s="2498"/>
      <c r="EG652" s="2498"/>
      <c r="EH652" s="2498" t="e">
        <f t="shared" si="24"/>
        <v>#VALUE!</v>
      </c>
      <c r="EI652" s="2498"/>
      <c r="EJ652" s="2498"/>
      <c r="EK652" s="2498"/>
      <c r="EL652" s="2498"/>
      <c r="EM652" s="2498" t="e">
        <f t="shared" si="25"/>
        <v>#VALUE!</v>
      </c>
      <c r="EN652" s="2498"/>
      <c r="EO652" s="2498"/>
      <c r="EP652" s="2498"/>
      <c r="EQ652" s="2498"/>
      <c r="ER652" s="2498" t="e">
        <f t="shared" si="26"/>
        <v>#VALUE!</v>
      </c>
      <c r="ES652" s="2498"/>
      <c r="ET652" s="2498"/>
      <c r="EU652" s="2498"/>
      <c r="EV652" s="2498"/>
      <c r="EW652" s="2498" t="e">
        <f t="shared" si="27"/>
        <v>#VALUE!</v>
      </c>
      <c r="EX652" s="2498"/>
      <c r="EY652" s="2498"/>
      <c r="EZ652" s="2498"/>
      <c r="FA652" s="2498"/>
    </row>
    <row r="653" spans="1:157" ht="13.2">
      <c r="A653" s="87" t="s">
        <v>117</v>
      </c>
      <c r="B653" s="12" t="s">
        <v>497</v>
      </c>
      <c r="G653" s="2072" t="str">
        <f>C637</f>
        <v>Citibank Permanent Loan</v>
      </c>
      <c r="H653" s="2072"/>
      <c r="I653" s="2072"/>
      <c r="J653" s="2072"/>
      <c r="K653" s="2072"/>
      <c r="L653" s="2072"/>
      <c r="M653" s="2072"/>
      <c r="N653" s="2072"/>
      <c r="O653" s="2072"/>
      <c r="P653" s="2072"/>
      <c r="Q653" s="2072"/>
      <c r="R653" s="2072"/>
      <c r="S653" s="14"/>
      <c r="T653" s="87" t="s">
        <v>118</v>
      </c>
      <c r="U653" s="12" t="s">
        <v>497</v>
      </c>
      <c r="Z653" s="2072" t="str">
        <f>C638</f>
        <v>Deferred Developer Fee</v>
      </c>
      <c r="AA653" s="2072"/>
      <c r="AB653" s="2072"/>
      <c r="AC653" s="2072"/>
      <c r="AD653" s="2072"/>
      <c r="AE653" s="2072"/>
      <c r="AF653" s="2072"/>
      <c r="AG653" s="2072"/>
      <c r="AH653" s="2072"/>
      <c r="AI653" s="2072"/>
      <c r="AJ653" s="2072"/>
      <c r="AK653" s="2072"/>
      <c r="AZ653" s="61"/>
      <c r="BA653" s="61"/>
      <c r="BB653" s="61"/>
      <c r="BC653" s="61"/>
      <c r="BD653" s="61"/>
      <c r="BE653" s="61"/>
      <c r="BF653" s="61"/>
      <c r="BG653" s="61"/>
      <c r="BH653" s="61"/>
      <c r="BI653" s="61"/>
      <c r="BJ653" s="61"/>
      <c r="BK653" s="61"/>
      <c r="BL653" s="61"/>
      <c r="BM653" s="61"/>
      <c r="BN653" s="2099">
        <f t="shared" si="28"/>
        <v>0</v>
      </c>
      <c r="BO653" s="2100"/>
      <c r="BP653" s="2100"/>
      <c r="BQ653" s="2100"/>
      <c r="BR653" s="2101"/>
      <c r="BS653" s="2106">
        <f t="shared" si="29"/>
        <v>0</v>
      </c>
      <c r="BT653" s="2106"/>
      <c r="BU653" s="2106"/>
      <c r="BV653" s="2106"/>
      <c r="BW653" s="2106"/>
      <c r="BX653" s="2106">
        <f t="shared" si="30"/>
        <v>0</v>
      </c>
      <c r="BY653" s="2106"/>
      <c r="BZ653" s="2106"/>
      <c r="CA653" s="2106"/>
      <c r="CB653" s="2106"/>
      <c r="CC653" s="2106">
        <f t="shared" si="31"/>
        <v>0</v>
      </c>
      <c r="CD653" s="2106"/>
      <c r="CE653" s="2106"/>
      <c r="CF653" s="2106"/>
      <c r="CG653" s="2106"/>
      <c r="CH653" s="2106">
        <f t="shared" si="32"/>
        <v>0</v>
      </c>
      <c r="CI653" s="2106"/>
      <c r="CJ653" s="2106"/>
      <c r="CK653" s="2106"/>
      <c r="CL653" s="2106"/>
      <c r="CM653" s="2106">
        <f t="shared" si="33"/>
        <v>0</v>
      </c>
      <c r="CN653" s="2106"/>
      <c r="CO653" s="2106"/>
      <c r="CP653" s="2106"/>
      <c r="CQ653" s="2106"/>
      <c r="CR653" s="265"/>
      <c r="CS653" s="2099">
        <f t="shared" si="34"/>
        <v>0</v>
      </c>
      <c r="CT653" s="2100"/>
      <c r="CU653" s="2100"/>
      <c r="CV653" s="2100"/>
      <c r="CW653" s="2101"/>
      <c r="CX653" s="2099">
        <f t="shared" si="35"/>
        <v>0</v>
      </c>
      <c r="CY653" s="2100"/>
      <c r="CZ653" s="2100"/>
      <c r="DA653" s="2100"/>
      <c r="DB653" s="2101"/>
      <c r="DC653" s="2099">
        <f t="shared" si="36"/>
        <v>0</v>
      </c>
      <c r="DD653" s="2100"/>
      <c r="DE653" s="2100"/>
      <c r="DF653" s="2100"/>
      <c r="DG653" s="2101"/>
      <c r="DH653" s="2099">
        <f t="shared" si="37"/>
        <v>0</v>
      </c>
      <c r="DI653" s="2100"/>
      <c r="DJ653" s="2100"/>
      <c r="DK653" s="2100"/>
      <c r="DL653" s="2101"/>
      <c r="DM653" s="2099">
        <f t="shared" si="38"/>
        <v>0</v>
      </c>
      <c r="DN653" s="2100"/>
      <c r="DO653" s="2100"/>
      <c r="DP653" s="2100"/>
      <c r="DQ653" s="2101"/>
      <c r="DR653" s="2099">
        <f t="shared" si="39"/>
        <v>0</v>
      </c>
      <c r="DS653" s="2100"/>
      <c r="DT653" s="2100"/>
      <c r="DU653" s="2100"/>
      <c r="DV653" s="2101"/>
      <c r="DX653" s="2498" t="e">
        <f t="shared" si="22"/>
        <v>#VALUE!</v>
      </c>
      <c r="DY653" s="2498"/>
      <c r="DZ653" s="2498"/>
      <c r="EA653" s="2498"/>
      <c r="EB653" s="2498"/>
      <c r="EC653" s="2498" t="e">
        <f t="shared" si="23"/>
        <v>#VALUE!</v>
      </c>
      <c r="ED653" s="2498"/>
      <c r="EE653" s="2498"/>
      <c r="EF653" s="2498"/>
      <c r="EG653" s="2498"/>
      <c r="EH653" s="2498" t="e">
        <f t="shared" si="24"/>
        <v>#VALUE!</v>
      </c>
      <c r="EI653" s="2498"/>
      <c r="EJ653" s="2498"/>
      <c r="EK653" s="2498"/>
      <c r="EL653" s="2498"/>
      <c r="EM653" s="2498" t="e">
        <f t="shared" si="25"/>
        <v>#VALUE!</v>
      </c>
      <c r="EN653" s="2498"/>
      <c r="EO653" s="2498"/>
      <c r="EP653" s="2498"/>
      <c r="EQ653" s="2498"/>
      <c r="ER653" s="2498" t="e">
        <f t="shared" si="26"/>
        <v>#VALUE!</v>
      </c>
      <c r="ES653" s="2498"/>
      <c r="ET653" s="2498"/>
      <c r="EU653" s="2498"/>
      <c r="EV653" s="2498"/>
      <c r="EW653" s="2498" t="e">
        <f t="shared" si="27"/>
        <v>#VALUE!</v>
      </c>
      <c r="EX653" s="2498"/>
      <c r="EY653" s="2498"/>
      <c r="EZ653" s="2498"/>
      <c r="FA653" s="2498"/>
    </row>
    <row r="654" spans="1:157" ht="13.2">
      <c r="A654" s="35"/>
      <c r="B654" s="12" t="s">
        <v>90</v>
      </c>
      <c r="G654" s="1955" t="s">
        <v>2495</v>
      </c>
      <c r="H654" s="1955"/>
      <c r="I654" s="1955"/>
      <c r="J654" s="1955"/>
      <c r="K654" s="1955"/>
      <c r="L654" s="1955"/>
      <c r="M654" s="1955"/>
      <c r="N654" s="1955"/>
      <c r="O654" s="1955"/>
      <c r="P654" s="1955"/>
      <c r="Q654" s="1955"/>
      <c r="R654" s="1955"/>
      <c r="S654" s="14"/>
      <c r="T654" s="35"/>
      <c r="U654" s="12" t="s">
        <v>90</v>
      </c>
      <c r="Z654" s="1955"/>
      <c r="AA654" s="1955"/>
      <c r="AB654" s="1955"/>
      <c r="AC654" s="1955"/>
      <c r="AD654" s="1955"/>
      <c r="AE654" s="1955"/>
      <c r="AF654" s="1955"/>
      <c r="AG654" s="1955"/>
      <c r="AH654" s="1955"/>
      <c r="AI654" s="1955"/>
      <c r="AJ654" s="1955"/>
      <c r="AK654" s="1955"/>
      <c r="AZ654" s="61"/>
      <c r="BA654" s="61"/>
      <c r="BB654" s="61"/>
      <c r="BC654" s="61"/>
      <c r="BD654" s="61"/>
      <c r="BE654" s="61"/>
      <c r="BF654" s="61"/>
      <c r="BG654" s="61"/>
      <c r="BH654" s="61"/>
      <c r="BI654" s="61"/>
      <c r="BJ654" s="61"/>
      <c r="BK654" s="61"/>
      <c r="BL654" s="61"/>
      <c r="BM654" s="61"/>
      <c r="BN654" s="2099">
        <f t="shared" si="28"/>
        <v>0</v>
      </c>
      <c r="BO654" s="2100"/>
      <c r="BP654" s="2100"/>
      <c r="BQ654" s="2100"/>
      <c r="BR654" s="2101"/>
      <c r="BS654" s="2106">
        <f t="shared" si="29"/>
        <v>0</v>
      </c>
      <c r="BT654" s="2106"/>
      <c r="BU654" s="2106"/>
      <c r="BV654" s="2106"/>
      <c r="BW654" s="2106"/>
      <c r="BX654" s="2106">
        <f t="shared" si="30"/>
        <v>0</v>
      </c>
      <c r="BY654" s="2106"/>
      <c r="BZ654" s="2106"/>
      <c r="CA654" s="2106"/>
      <c r="CB654" s="2106"/>
      <c r="CC654" s="2106">
        <f t="shared" si="31"/>
        <v>0</v>
      </c>
      <c r="CD654" s="2106"/>
      <c r="CE654" s="2106"/>
      <c r="CF654" s="2106"/>
      <c r="CG654" s="2106"/>
      <c r="CH654" s="2106">
        <f t="shared" si="32"/>
        <v>0</v>
      </c>
      <c r="CI654" s="2106"/>
      <c r="CJ654" s="2106"/>
      <c r="CK654" s="2106"/>
      <c r="CL654" s="2106"/>
      <c r="CM654" s="2106">
        <f t="shared" si="33"/>
        <v>0</v>
      </c>
      <c r="CN654" s="2106"/>
      <c r="CO654" s="2106"/>
      <c r="CP654" s="2106"/>
      <c r="CQ654" s="2106"/>
      <c r="CR654" s="265"/>
      <c r="CS654" s="2099">
        <f t="shared" si="34"/>
        <v>0</v>
      </c>
      <c r="CT654" s="2100"/>
      <c r="CU654" s="2100"/>
      <c r="CV654" s="2100"/>
      <c r="CW654" s="2101"/>
      <c r="CX654" s="2099">
        <f t="shared" si="35"/>
        <v>0</v>
      </c>
      <c r="CY654" s="2100"/>
      <c r="CZ654" s="2100"/>
      <c r="DA654" s="2100"/>
      <c r="DB654" s="2101"/>
      <c r="DC654" s="2099">
        <f t="shared" si="36"/>
        <v>0</v>
      </c>
      <c r="DD654" s="2100"/>
      <c r="DE654" s="2100"/>
      <c r="DF654" s="2100"/>
      <c r="DG654" s="2101"/>
      <c r="DH654" s="2099">
        <f t="shared" si="37"/>
        <v>0</v>
      </c>
      <c r="DI654" s="2100"/>
      <c r="DJ654" s="2100"/>
      <c r="DK654" s="2100"/>
      <c r="DL654" s="2101"/>
      <c r="DM654" s="2099">
        <f t="shared" si="38"/>
        <v>0</v>
      </c>
      <c r="DN654" s="2100"/>
      <c r="DO654" s="2100"/>
      <c r="DP654" s="2100"/>
      <c r="DQ654" s="2101"/>
      <c r="DR654" s="2099">
        <f t="shared" si="39"/>
        <v>0</v>
      </c>
      <c r="DS654" s="2100"/>
      <c r="DT654" s="2100"/>
      <c r="DU654" s="2100"/>
      <c r="DV654" s="2101"/>
      <c r="DX654" s="2498" t="e">
        <f t="shared" si="22"/>
        <v>#VALUE!</v>
      </c>
      <c r="DY654" s="2498"/>
      <c r="DZ654" s="2498"/>
      <c r="EA654" s="2498"/>
      <c r="EB654" s="2498"/>
      <c r="EC654" s="2498" t="e">
        <f t="shared" si="23"/>
        <v>#VALUE!</v>
      </c>
      <c r="ED654" s="2498"/>
      <c r="EE654" s="2498"/>
      <c r="EF654" s="2498"/>
      <c r="EG654" s="2498"/>
      <c r="EH654" s="2498" t="e">
        <f t="shared" si="24"/>
        <v>#VALUE!</v>
      </c>
      <c r="EI654" s="2498"/>
      <c r="EJ654" s="2498"/>
      <c r="EK654" s="2498"/>
      <c r="EL654" s="2498"/>
      <c r="EM654" s="2498" t="e">
        <f t="shared" si="25"/>
        <v>#VALUE!</v>
      </c>
      <c r="EN654" s="2498"/>
      <c r="EO654" s="2498"/>
      <c r="EP654" s="2498"/>
      <c r="EQ654" s="2498"/>
      <c r="ER654" s="2498" t="e">
        <f t="shared" si="26"/>
        <v>#VALUE!</v>
      </c>
      <c r="ES654" s="2498"/>
      <c r="ET654" s="2498"/>
      <c r="EU654" s="2498"/>
      <c r="EV654" s="2498"/>
      <c r="EW654" s="2498" t="e">
        <f t="shared" si="27"/>
        <v>#VALUE!</v>
      </c>
      <c r="EX654" s="2498"/>
      <c r="EY654" s="2498"/>
      <c r="EZ654" s="2498"/>
      <c r="FA654" s="2498"/>
    </row>
    <row r="655" spans="1:157" ht="13.2">
      <c r="A655" s="35"/>
      <c r="B655" s="12" t="s">
        <v>616</v>
      </c>
      <c r="G655" s="1955" t="s">
        <v>528</v>
      </c>
      <c r="H655" s="1955"/>
      <c r="I655" s="1955"/>
      <c r="J655" s="1955"/>
      <c r="K655" s="1955"/>
      <c r="L655" s="1955"/>
      <c r="M655" s="1955"/>
      <c r="N655" s="1955"/>
      <c r="O655" s="1955"/>
      <c r="P655" s="1955"/>
      <c r="Q655" s="1955"/>
      <c r="R655" s="1955"/>
      <c r="S655" s="88"/>
      <c r="T655" s="35"/>
      <c r="U655" s="12" t="s">
        <v>616</v>
      </c>
      <c r="Z655" s="1960"/>
      <c r="AA655" s="1960"/>
      <c r="AB655" s="1960"/>
      <c r="AC655" s="1960"/>
      <c r="AD655" s="1960"/>
      <c r="AE655" s="1960"/>
      <c r="AF655" s="1960"/>
      <c r="AG655" s="1960"/>
      <c r="AH655" s="1960"/>
      <c r="AI655" s="1960"/>
      <c r="AJ655" s="1960"/>
      <c r="AK655" s="1960"/>
      <c r="AZ655" s="61"/>
      <c r="BA655" s="61"/>
      <c r="BB655" s="61"/>
      <c r="BC655" s="61"/>
      <c r="BD655" s="61"/>
      <c r="BE655" s="61"/>
      <c r="BF655" s="61"/>
      <c r="BG655" s="61"/>
      <c r="BH655" s="61"/>
      <c r="BI655" s="61"/>
      <c r="BJ655" s="61"/>
      <c r="BK655" s="61"/>
      <c r="BL655" s="61"/>
      <c r="BM655" s="61"/>
      <c r="BN655" s="2099">
        <f t="shared" si="28"/>
        <v>0</v>
      </c>
      <c r="BO655" s="2100"/>
      <c r="BP655" s="2100"/>
      <c r="BQ655" s="2100"/>
      <c r="BR655" s="2101"/>
      <c r="BS655" s="2106">
        <f t="shared" si="29"/>
        <v>0</v>
      </c>
      <c r="BT655" s="2106"/>
      <c r="BU655" s="2106"/>
      <c r="BV655" s="2106"/>
      <c r="BW655" s="2106"/>
      <c r="BX655" s="2106">
        <f t="shared" si="30"/>
        <v>0</v>
      </c>
      <c r="BY655" s="2106"/>
      <c r="BZ655" s="2106"/>
      <c r="CA655" s="2106"/>
      <c r="CB655" s="2106"/>
      <c r="CC655" s="2106">
        <f t="shared" si="31"/>
        <v>0</v>
      </c>
      <c r="CD655" s="2106"/>
      <c r="CE655" s="2106"/>
      <c r="CF655" s="2106"/>
      <c r="CG655" s="2106"/>
      <c r="CH655" s="2106">
        <f t="shared" si="32"/>
        <v>0</v>
      </c>
      <c r="CI655" s="2106"/>
      <c r="CJ655" s="2106"/>
      <c r="CK655" s="2106"/>
      <c r="CL655" s="2106"/>
      <c r="CM655" s="2106">
        <f t="shared" si="33"/>
        <v>0</v>
      </c>
      <c r="CN655" s="2106"/>
      <c r="CO655" s="2106"/>
      <c r="CP655" s="2106"/>
      <c r="CQ655" s="2106"/>
      <c r="CR655" s="265"/>
      <c r="CS655" s="2099">
        <f t="shared" si="34"/>
        <v>0</v>
      </c>
      <c r="CT655" s="2100"/>
      <c r="CU655" s="2100"/>
      <c r="CV655" s="2100"/>
      <c r="CW655" s="2101"/>
      <c r="CX655" s="2099">
        <f t="shared" si="35"/>
        <v>0</v>
      </c>
      <c r="CY655" s="2100"/>
      <c r="CZ655" s="2100"/>
      <c r="DA655" s="2100"/>
      <c r="DB655" s="2101"/>
      <c r="DC655" s="2099">
        <f t="shared" si="36"/>
        <v>0</v>
      </c>
      <c r="DD655" s="2100"/>
      <c r="DE655" s="2100"/>
      <c r="DF655" s="2100"/>
      <c r="DG655" s="2101"/>
      <c r="DH655" s="2099">
        <f t="shared" si="37"/>
        <v>0</v>
      </c>
      <c r="DI655" s="2100"/>
      <c r="DJ655" s="2100"/>
      <c r="DK655" s="2100"/>
      <c r="DL655" s="2101"/>
      <c r="DM655" s="2099">
        <f t="shared" si="38"/>
        <v>0</v>
      </c>
      <c r="DN655" s="2100"/>
      <c r="DO655" s="2100"/>
      <c r="DP655" s="2100"/>
      <c r="DQ655" s="2101"/>
      <c r="DR655" s="2099">
        <f t="shared" si="39"/>
        <v>0</v>
      </c>
      <c r="DS655" s="2100"/>
      <c r="DT655" s="2100"/>
      <c r="DU655" s="2100"/>
      <c r="DV655" s="2101"/>
      <c r="DX655" s="2498" t="e">
        <f t="shared" si="22"/>
        <v>#VALUE!</v>
      </c>
      <c r="DY655" s="2498"/>
      <c r="DZ655" s="2498"/>
      <c r="EA655" s="2498"/>
      <c r="EB655" s="2498"/>
      <c r="EC655" s="2498" t="e">
        <f t="shared" si="23"/>
        <v>#VALUE!</v>
      </c>
      <c r="ED655" s="2498"/>
      <c r="EE655" s="2498"/>
      <c r="EF655" s="2498"/>
      <c r="EG655" s="2498"/>
      <c r="EH655" s="2498" t="e">
        <f t="shared" si="24"/>
        <v>#VALUE!</v>
      </c>
      <c r="EI655" s="2498"/>
      <c r="EJ655" s="2498"/>
      <c r="EK655" s="2498"/>
      <c r="EL655" s="2498"/>
      <c r="EM655" s="2498" t="e">
        <f t="shared" si="25"/>
        <v>#VALUE!</v>
      </c>
      <c r="EN655" s="2498"/>
      <c r="EO655" s="2498"/>
      <c r="EP655" s="2498"/>
      <c r="EQ655" s="2498"/>
      <c r="ER655" s="2498" t="e">
        <f t="shared" si="26"/>
        <v>#VALUE!</v>
      </c>
      <c r="ES655" s="2498"/>
      <c r="ET655" s="2498"/>
      <c r="EU655" s="2498"/>
      <c r="EV655" s="2498"/>
      <c r="EW655" s="2498" t="e">
        <f t="shared" si="27"/>
        <v>#VALUE!</v>
      </c>
      <c r="EX655" s="2498"/>
      <c r="EY655" s="2498"/>
      <c r="EZ655" s="2498"/>
      <c r="FA655" s="2498"/>
    </row>
    <row r="656" spans="1:157" ht="13.2">
      <c r="A656" s="35"/>
      <c r="B656" s="12" t="s">
        <v>17</v>
      </c>
      <c r="G656" s="1955" t="s">
        <v>2496</v>
      </c>
      <c r="H656" s="1955"/>
      <c r="I656" s="1955"/>
      <c r="J656" s="1955"/>
      <c r="K656" s="1955"/>
      <c r="L656" s="1955"/>
      <c r="M656" s="1955"/>
      <c r="N656" s="1955"/>
      <c r="O656" s="1955"/>
      <c r="P656" s="1955"/>
      <c r="Q656" s="1955"/>
      <c r="R656" s="1955"/>
      <c r="S656" s="14"/>
      <c r="T656" s="35"/>
      <c r="U656" s="12" t="s">
        <v>17</v>
      </c>
      <c r="Z656" s="1960"/>
      <c r="AA656" s="1960"/>
      <c r="AB656" s="1960"/>
      <c r="AC656" s="1960"/>
      <c r="AD656" s="1960"/>
      <c r="AE656" s="1960"/>
      <c r="AF656" s="1960"/>
      <c r="AG656" s="1960"/>
      <c r="AH656" s="1960"/>
      <c r="AI656" s="1960"/>
      <c r="AJ656" s="1960"/>
      <c r="AK656" s="1960"/>
      <c r="AZ656" s="61"/>
      <c r="BA656" s="61"/>
      <c r="BB656" s="61"/>
      <c r="BC656" s="61"/>
      <c r="BD656" s="61"/>
      <c r="BE656" s="61"/>
      <c r="BF656" s="61"/>
      <c r="BG656" s="61"/>
      <c r="BH656" s="61"/>
      <c r="BI656" s="61"/>
      <c r="BJ656" s="61"/>
      <c r="BK656" s="61"/>
      <c r="BL656" s="61"/>
      <c r="BM656" s="61"/>
      <c r="BN656" s="2099">
        <f t="shared" si="28"/>
        <v>0</v>
      </c>
      <c r="BO656" s="2100"/>
      <c r="BP656" s="2100"/>
      <c r="BQ656" s="2100"/>
      <c r="BR656" s="2101"/>
      <c r="BS656" s="2106">
        <f t="shared" si="29"/>
        <v>0</v>
      </c>
      <c r="BT656" s="2106"/>
      <c r="BU656" s="2106"/>
      <c r="BV656" s="2106"/>
      <c r="BW656" s="2106"/>
      <c r="BX656" s="2106">
        <f t="shared" si="30"/>
        <v>0</v>
      </c>
      <c r="BY656" s="2106"/>
      <c r="BZ656" s="2106"/>
      <c r="CA656" s="2106"/>
      <c r="CB656" s="2106"/>
      <c r="CC656" s="2106">
        <f t="shared" si="31"/>
        <v>0</v>
      </c>
      <c r="CD656" s="2106"/>
      <c r="CE656" s="2106"/>
      <c r="CF656" s="2106"/>
      <c r="CG656" s="2106"/>
      <c r="CH656" s="2106">
        <f t="shared" si="32"/>
        <v>0</v>
      </c>
      <c r="CI656" s="2106"/>
      <c r="CJ656" s="2106"/>
      <c r="CK656" s="2106"/>
      <c r="CL656" s="2106"/>
      <c r="CM656" s="2106">
        <f t="shared" si="33"/>
        <v>0</v>
      </c>
      <c r="CN656" s="2106"/>
      <c r="CO656" s="2106"/>
      <c r="CP656" s="2106"/>
      <c r="CQ656" s="2106"/>
      <c r="CR656" s="265"/>
      <c r="CS656" s="2099">
        <f t="shared" si="34"/>
        <v>0</v>
      </c>
      <c r="CT656" s="2100"/>
      <c r="CU656" s="2100"/>
      <c r="CV656" s="2100"/>
      <c r="CW656" s="2101"/>
      <c r="CX656" s="2099">
        <f t="shared" si="35"/>
        <v>0</v>
      </c>
      <c r="CY656" s="2100"/>
      <c r="CZ656" s="2100"/>
      <c r="DA656" s="2100"/>
      <c r="DB656" s="2101"/>
      <c r="DC656" s="2099">
        <f t="shared" si="36"/>
        <v>0</v>
      </c>
      <c r="DD656" s="2100"/>
      <c r="DE656" s="2100"/>
      <c r="DF656" s="2100"/>
      <c r="DG656" s="2101"/>
      <c r="DH656" s="2099">
        <f t="shared" si="37"/>
        <v>0</v>
      </c>
      <c r="DI656" s="2100"/>
      <c r="DJ656" s="2100"/>
      <c r="DK656" s="2100"/>
      <c r="DL656" s="2101"/>
      <c r="DM656" s="2099">
        <f t="shared" si="38"/>
        <v>0</v>
      </c>
      <c r="DN656" s="2100"/>
      <c r="DO656" s="2100"/>
      <c r="DP656" s="2100"/>
      <c r="DQ656" s="2101"/>
      <c r="DR656" s="2099">
        <f t="shared" si="39"/>
        <v>0</v>
      </c>
      <c r="DS656" s="2100"/>
      <c r="DT656" s="2100"/>
      <c r="DU656" s="2100"/>
      <c r="DV656" s="2101"/>
      <c r="DX656" s="2498" t="e">
        <f t="shared" si="22"/>
        <v>#VALUE!</v>
      </c>
      <c r="DY656" s="2498"/>
      <c r="DZ656" s="2498"/>
      <c r="EA656" s="2498"/>
      <c r="EB656" s="2498"/>
      <c r="EC656" s="2498" t="e">
        <f t="shared" si="23"/>
        <v>#VALUE!</v>
      </c>
      <c r="ED656" s="2498"/>
      <c r="EE656" s="2498"/>
      <c r="EF656" s="2498"/>
      <c r="EG656" s="2498"/>
      <c r="EH656" s="2498" t="e">
        <f t="shared" si="24"/>
        <v>#VALUE!</v>
      </c>
      <c r="EI656" s="2498"/>
      <c r="EJ656" s="2498"/>
      <c r="EK656" s="2498"/>
      <c r="EL656" s="2498"/>
      <c r="EM656" s="2498" t="e">
        <f t="shared" si="25"/>
        <v>#VALUE!</v>
      </c>
      <c r="EN656" s="2498"/>
      <c r="EO656" s="2498"/>
      <c r="EP656" s="2498"/>
      <c r="EQ656" s="2498"/>
      <c r="ER656" s="2498" t="e">
        <f t="shared" si="26"/>
        <v>#VALUE!</v>
      </c>
      <c r="ES656" s="2498"/>
      <c r="ET656" s="2498"/>
      <c r="EU656" s="2498"/>
      <c r="EV656" s="2498"/>
      <c r="EW656" s="2498" t="e">
        <f t="shared" si="27"/>
        <v>#VALUE!</v>
      </c>
      <c r="EX656" s="2498"/>
      <c r="EY656" s="2498"/>
      <c r="EZ656" s="2498"/>
      <c r="FA656" s="2498"/>
    </row>
    <row r="657" spans="1:157" ht="13.2">
      <c r="A657" s="35"/>
      <c r="B657" s="12" t="s">
        <v>327</v>
      </c>
      <c r="G657" s="1954" t="s">
        <v>2497</v>
      </c>
      <c r="H657" s="1954"/>
      <c r="I657" s="1954"/>
      <c r="J657" s="1954"/>
      <c r="K657" s="1954"/>
      <c r="L657" s="1954"/>
      <c r="O657" s="137" t="s">
        <v>212</v>
      </c>
      <c r="P657" s="2027"/>
      <c r="Q657" s="2027"/>
      <c r="R657" s="2027"/>
      <c r="S657" s="16"/>
      <c r="T657" s="35"/>
      <c r="U657" s="12" t="s">
        <v>327</v>
      </c>
      <c r="Z657" s="1954"/>
      <c r="AA657" s="1954"/>
      <c r="AB657" s="1954"/>
      <c r="AC657" s="1954"/>
      <c r="AD657" s="1954"/>
      <c r="AE657" s="1954"/>
      <c r="AH657" s="137" t="s">
        <v>212</v>
      </c>
      <c r="AI657" s="2027"/>
      <c r="AJ657" s="2027"/>
      <c r="AK657" s="2027"/>
      <c r="AZ657" s="61"/>
      <c r="BA657" s="61"/>
      <c r="BB657" s="61"/>
      <c r="BC657" s="61"/>
      <c r="BD657" s="61"/>
      <c r="BE657" s="61"/>
      <c r="BF657" s="61"/>
      <c r="BG657" s="61"/>
      <c r="BH657" s="61"/>
      <c r="BI657" s="61"/>
      <c r="BJ657" s="61"/>
      <c r="BK657" s="61"/>
      <c r="BL657" s="61"/>
      <c r="BM657" s="61"/>
      <c r="BN657" s="2099">
        <f t="shared" si="28"/>
        <v>0</v>
      </c>
      <c r="BO657" s="2100"/>
      <c r="BP657" s="2100"/>
      <c r="BQ657" s="2100"/>
      <c r="BR657" s="2101"/>
      <c r="BS657" s="2106">
        <f t="shared" si="29"/>
        <v>0</v>
      </c>
      <c r="BT657" s="2106"/>
      <c r="BU657" s="2106"/>
      <c r="BV657" s="2106"/>
      <c r="BW657" s="2106"/>
      <c r="BX657" s="2106">
        <f t="shared" si="30"/>
        <v>0</v>
      </c>
      <c r="BY657" s="2106"/>
      <c r="BZ657" s="2106"/>
      <c r="CA657" s="2106"/>
      <c r="CB657" s="2106"/>
      <c r="CC657" s="2106">
        <f t="shared" si="31"/>
        <v>0</v>
      </c>
      <c r="CD657" s="2106"/>
      <c r="CE657" s="2106"/>
      <c r="CF657" s="2106"/>
      <c r="CG657" s="2106"/>
      <c r="CH657" s="2106">
        <f t="shared" si="32"/>
        <v>0</v>
      </c>
      <c r="CI657" s="2106"/>
      <c r="CJ657" s="2106"/>
      <c r="CK657" s="2106"/>
      <c r="CL657" s="2106"/>
      <c r="CM657" s="2106">
        <f t="shared" si="33"/>
        <v>0</v>
      </c>
      <c r="CN657" s="2106"/>
      <c r="CO657" s="2106"/>
      <c r="CP657" s="2106"/>
      <c r="CQ657" s="2106"/>
      <c r="CR657" s="265"/>
      <c r="CS657" s="2099">
        <f t="shared" si="34"/>
        <v>0</v>
      </c>
      <c r="CT657" s="2100"/>
      <c r="CU657" s="2100"/>
      <c r="CV657" s="2100"/>
      <c r="CW657" s="2101"/>
      <c r="CX657" s="2099">
        <f t="shared" si="35"/>
        <v>0</v>
      </c>
      <c r="CY657" s="2100"/>
      <c r="CZ657" s="2100"/>
      <c r="DA657" s="2100"/>
      <c r="DB657" s="2101"/>
      <c r="DC657" s="2099">
        <f t="shared" si="36"/>
        <v>0</v>
      </c>
      <c r="DD657" s="2100"/>
      <c r="DE657" s="2100"/>
      <c r="DF657" s="2100"/>
      <c r="DG657" s="2101"/>
      <c r="DH657" s="2099">
        <f t="shared" si="37"/>
        <v>0</v>
      </c>
      <c r="DI657" s="2100"/>
      <c r="DJ657" s="2100"/>
      <c r="DK657" s="2100"/>
      <c r="DL657" s="2101"/>
      <c r="DM657" s="2099">
        <f t="shared" si="38"/>
        <v>0</v>
      </c>
      <c r="DN657" s="2100"/>
      <c r="DO657" s="2100"/>
      <c r="DP657" s="2100"/>
      <c r="DQ657" s="2101"/>
      <c r="DR657" s="2099">
        <f t="shared" si="39"/>
        <v>0</v>
      </c>
      <c r="DS657" s="2100"/>
      <c r="DT657" s="2100"/>
      <c r="DU657" s="2100"/>
      <c r="DV657" s="2101"/>
      <c r="DX657" s="2498" t="e">
        <f t="shared" si="22"/>
        <v>#VALUE!</v>
      </c>
      <c r="DY657" s="2498"/>
      <c r="DZ657" s="2498"/>
      <c r="EA657" s="2498"/>
      <c r="EB657" s="2498"/>
      <c r="EC657" s="2498" t="e">
        <f t="shared" si="23"/>
        <v>#VALUE!</v>
      </c>
      <c r="ED657" s="2498"/>
      <c r="EE657" s="2498"/>
      <c r="EF657" s="2498"/>
      <c r="EG657" s="2498"/>
      <c r="EH657" s="2498" t="e">
        <f t="shared" si="24"/>
        <v>#VALUE!</v>
      </c>
      <c r="EI657" s="2498"/>
      <c r="EJ657" s="2498"/>
      <c r="EK657" s="2498"/>
      <c r="EL657" s="2498"/>
      <c r="EM657" s="2498" t="e">
        <f t="shared" si="25"/>
        <v>#VALUE!</v>
      </c>
      <c r="EN657" s="2498"/>
      <c r="EO657" s="2498"/>
      <c r="EP657" s="2498"/>
      <c r="EQ657" s="2498"/>
      <c r="ER657" s="2498" t="e">
        <f t="shared" si="26"/>
        <v>#VALUE!</v>
      </c>
      <c r="ES657" s="2498"/>
      <c r="ET657" s="2498"/>
      <c r="EU657" s="2498"/>
      <c r="EV657" s="2498"/>
      <c r="EW657" s="2498" t="e">
        <f t="shared" si="27"/>
        <v>#VALUE!</v>
      </c>
      <c r="EX657" s="2498"/>
      <c r="EY657" s="2498"/>
      <c r="EZ657" s="2498"/>
      <c r="FA657" s="2498"/>
    </row>
    <row r="658" spans="1:157" ht="13.2">
      <c r="A658" s="35"/>
      <c r="B658" s="12" t="s">
        <v>18</v>
      </c>
      <c r="H658" s="2073" t="s">
        <v>2501</v>
      </c>
      <c r="I658" s="1955"/>
      <c r="J658" s="1955"/>
      <c r="K658" s="1955"/>
      <c r="L658" s="1955"/>
      <c r="M658" s="1955"/>
      <c r="N658" s="1955"/>
      <c r="O658" s="1955"/>
      <c r="P658" s="1955"/>
      <c r="Q658" s="1955"/>
      <c r="R658" s="1955"/>
      <c r="S658" s="14"/>
      <c r="T658" s="35"/>
      <c r="U658" s="12" t="s">
        <v>18</v>
      </c>
      <c r="AA658" s="1955"/>
      <c r="AB658" s="1955"/>
      <c r="AC658" s="1955"/>
      <c r="AD658" s="1955"/>
      <c r="AE658" s="1955"/>
      <c r="AF658" s="1955"/>
      <c r="AG658" s="1955"/>
      <c r="AH658" s="1955"/>
      <c r="AI658" s="1955"/>
      <c r="AJ658" s="1955"/>
      <c r="AK658" s="1955"/>
      <c r="AZ658" s="61"/>
      <c r="BA658" s="61"/>
      <c r="BB658" s="61"/>
      <c r="BC658" s="61"/>
      <c r="BD658" s="61"/>
      <c r="BE658" s="61"/>
      <c r="BF658" s="61"/>
      <c r="BG658" s="61"/>
      <c r="BH658" s="61"/>
      <c r="BI658" s="61"/>
      <c r="BJ658" s="61"/>
      <c r="BK658" s="61"/>
      <c r="BL658" s="61"/>
      <c r="BM658" s="61"/>
      <c r="BN658" s="2104">
        <f>SUM(BN648:BR657)</f>
        <v>0</v>
      </c>
      <c r="BO658" s="2114"/>
      <c r="BP658" s="2114"/>
      <c r="BQ658" s="2114"/>
      <c r="BR658" s="2105"/>
      <c r="BS658" s="2115">
        <f>SUM(BS648:BW657)</f>
        <v>0</v>
      </c>
      <c r="BT658" s="2116"/>
      <c r="BU658" s="2116"/>
      <c r="BV658" s="2116"/>
      <c r="BW658" s="2117"/>
      <c r="BX658" s="2115">
        <f>SUM(BX648:CB657)</f>
        <v>0</v>
      </c>
      <c r="BY658" s="2116"/>
      <c r="BZ658" s="2116"/>
      <c r="CA658" s="2116"/>
      <c r="CB658" s="2117"/>
      <c r="CC658" s="2115">
        <f>SUM(CC648:CG657)</f>
        <v>0</v>
      </c>
      <c r="CD658" s="2116"/>
      <c r="CE658" s="2116"/>
      <c r="CF658" s="2116"/>
      <c r="CG658" s="2117"/>
      <c r="CH658" s="2115">
        <f>SUM(CH648:CL657)</f>
        <v>0</v>
      </c>
      <c r="CI658" s="2116"/>
      <c r="CJ658" s="2116"/>
      <c r="CK658" s="2116"/>
      <c r="CL658" s="2117"/>
      <c r="CM658" s="2115">
        <f>SUM(CM648:CQ657)</f>
        <v>0</v>
      </c>
      <c r="CN658" s="2116"/>
      <c r="CO658" s="2116"/>
      <c r="CP658" s="2116"/>
      <c r="CQ658" s="2117"/>
      <c r="CR658" s="1823"/>
      <c r="CS658" s="2503">
        <f>SUM(CS648:CW657)</f>
        <v>0</v>
      </c>
      <c r="CT658" s="2503"/>
      <c r="CU658" s="2503"/>
      <c r="CV658" s="2503"/>
      <c r="CW658" s="2503"/>
      <c r="CX658" s="2503">
        <f>SUM(CX648:DB657)</f>
        <v>0</v>
      </c>
      <c r="CY658" s="2503"/>
      <c r="CZ658" s="2503"/>
      <c r="DA658" s="2503"/>
      <c r="DB658" s="2503"/>
      <c r="DC658" s="2503">
        <f>SUM(DC648:DG657)</f>
        <v>0</v>
      </c>
      <c r="DD658" s="2503"/>
      <c r="DE658" s="2503"/>
      <c r="DF658" s="2503"/>
      <c r="DG658" s="2503"/>
      <c r="DH658" s="2503">
        <f>SUM(DH648:DL657)</f>
        <v>0</v>
      </c>
      <c r="DI658" s="2503"/>
      <c r="DJ658" s="2503"/>
      <c r="DK658" s="2503"/>
      <c r="DL658" s="2503"/>
      <c r="DM658" s="2503">
        <f>SUM(DM648:DQ657)</f>
        <v>0</v>
      </c>
      <c r="DN658" s="2503"/>
      <c r="DO658" s="2503"/>
      <c r="DP658" s="2503"/>
      <c r="DQ658" s="2503"/>
      <c r="DR658" s="2503">
        <f>SUM(DR648:DV657)</f>
        <v>0</v>
      </c>
      <c r="DS658" s="2503"/>
      <c r="DT658" s="2503"/>
      <c r="DU658" s="2503"/>
      <c r="DV658" s="2503"/>
      <c r="DX658" s="2498" t="e">
        <f t="shared" si="22"/>
        <v>#VALUE!</v>
      </c>
      <c r="DY658" s="2498"/>
      <c r="DZ658" s="2498"/>
      <c r="EA658" s="2498"/>
      <c r="EB658" s="2498"/>
      <c r="EC658" s="2498" t="e">
        <f t="shared" si="23"/>
        <v>#VALUE!</v>
      </c>
      <c r="ED658" s="2498"/>
      <c r="EE658" s="2498"/>
      <c r="EF658" s="2498"/>
      <c r="EG658" s="2498"/>
      <c r="EH658" s="2498" t="e">
        <f t="shared" si="24"/>
        <v>#VALUE!</v>
      </c>
      <c r="EI658" s="2498"/>
      <c r="EJ658" s="2498"/>
      <c r="EK658" s="2498"/>
      <c r="EL658" s="2498"/>
      <c r="EM658" s="2498" t="e">
        <f t="shared" si="25"/>
        <v>#VALUE!</v>
      </c>
      <c r="EN658" s="2498"/>
      <c r="EO658" s="2498"/>
      <c r="EP658" s="2498"/>
      <c r="EQ658" s="2498"/>
      <c r="ER658" s="2498" t="e">
        <f t="shared" si="26"/>
        <v>#VALUE!</v>
      </c>
      <c r="ES658" s="2498"/>
      <c r="ET658" s="2498"/>
      <c r="EU658" s="2498"/>
      <c r="EV658" s="2498"/>
      <c r="EW658" s="2498" t="e">
        <f t="shared" si="27"/>
        <v>#VALUE!</v>
      </c>
      <c r="EX658" s="2498"/>
      <c r="EY658" s="2498"/>
      <c r="EZ658" s="2498"/>
      <c r="FA658" s="2498"/>
    </row>
    <row r="659" spans="1:157" ht="13.2">
      <c r="A659" s="35"/>
      <c r="B659" s="12" t="s">
        <v>20</v>
      </c>
      <c r="N659" s="1961" t="s">
        <v>579</v>
      </c>
      <c r="O659" s="1961"/>
      <c r="T659" s="35"/>
      <c r="U659" s="12" t="s">
        <v>20</v>
      </c>
      <c r="AG659" s="1961" t="s">
        <v>579</v>
      </c>
      <c r="AH659" s="1961"/>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498" t="e">
        <f t="shared" si="22"/>
        <v>#VALUE!</v>
      </c>
      <c r="DY659" s="2498"/>
      <c r="DZ659" s="2498"/>
      <c r="EA659" s="2498"/>
      <c r="EB659" s="2498"/>
      <c r="EC659" s="2498" t="e">
        <f t="shared" si="23"/>
        <v>#VALUE!</v>
      </c>
      <c r="ED659" s="2498"/>
      <c r="EE659" s="2498"/>
      <c r="EF659" s="2498"/>
      <c r="EG659" s="2498"/>
      <c r="EH659" s="2498" t="e">
        <f t="shared" si="24"/>
        <v>#VALUE!</v>
      </c>
      <c r="EI659" s="2498"/>
      <c r="EJ659" s="2498"/>
      <c r="EK659" s="2498"/>
      <c r="EL659" s="2498"/>
      <c r="EM659" s="2498" t="e">
        <f t="shared" si="25"/>
        <v>#VALUE!</v>
      </c>
      <c r="EN659" s="2498"/>
      <c r="EO659" s="2498"/>
      <c r="EP659" s="2498"/>
      <c r="EQ659" s="2498"/>
      <c r="ER659" s="2498" t="e">
        <f t="shared" si="26"/>
        <v>#VALUE!</v>
      </c>
      <c r="ES659" s="2498"/>
      <c r="ET659" s="2498"/>
      <c r="EU659" s="2498"/>
      <c r="EV659" s="2498"/>
      <c r="EW659" s="2498" t="e">
        <f t="shared" si="27"/>
        <v>#VALUE!</v>
      </c>
      <c r="EX659" s="2498"/>
      <c r="EY659" s="2498"/>
      <c r="EZ659" s="2498"/>
      <c r="FA659" s="2498"/>
    </row>
    <row r="660" spans="1:157" ht="13.2">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2450</v>
      </c>
      <c r="CU660" s="58"/>
      <c r="CV660" s="58"/>
      <c r="CW660" s="58"/>
      <c r="CX660" s="58"/>
      <c r="CY660" s="58"/>
      <c r="CZ660" s="58"/>
      <c r="DA660" s="58"/>
      <c r="DB660" s="58"/>
      <c r="DC660" s="58"/>
      <c r="DD660" s="58"/>
      <c r="DE660" s="58"/>
      <c r="DF660" s="58"/>
      <c r="DQ660" s="136" t="s">
        <v>2463</v>
      </c>
      <c r="DR660" s="2498">
        <f>SUM(CS658:DV658)</f>
        <v>0</v>
      </c>
      <c r="DS660" s="2498"/>
      <c r="DT660" s="2498"/>
      <c r="DU660" s="2498"/>
      <c r="DV660" s="2498"/>
      <c r="DX660" s="2498" t="e">
        <f t="shared" si="22"/>
        <v>#VALUE!</v>
      </c>
      <c r="DY660" s="2498"/>
      <c r="DZ660" s="2498"/>
      <c r="EA660" s="2498"/>
      <c r="EB660" s="2498"/>
      <c r="EC660" s="2498" t="e">
        <f t="shared" si="23"/>
        <v>#VALUE!</v>
      </c>
      <c r="ED660" s="2498"/>
      <c r="EE660" s="2498"/>
      <c r="EF660" s="2498"/>
      <c r="EG660" s="2498"/>
      <c r="EH660" s="2498" t="e">
        <f t="shared" si="24"/>
        <v>#VALUE!</v>
      </c>
      <c r="EI660" s="2498"/>
      <c r="EJ660" s="2498"/>
      <c r="EK660" s="2498"/>
      <c r="EL660" s="2498"/>
      <c r="EM660" s="2498" t="e">
        <f t="shared" si="25"/>
        <v>#VALUE!</v>
      </c>
      <c r="EN660" s="2498"/>
      <c r="EO660" s="2498"/>
      <c r="EP660" s="2498"/>
      <c r="EQ660" s="2498"/>
      <c r="ER660" s="2498" t="e">
        <f t="shared" si="26"/>
        <v>#VALUE!</v>
      </c>
      <c r="ES660" s="2498"/>
      <c r="ET660" s="2498"/>
      <c r="EU660" s="2498"/>
      <c r="EV660" s="2498"/>
      <c r="EW660" s="2498" t="e">
        <f t="shared" si="27"/>
        <v>#VALUE!</v>
      </c>
      <c r="EX660" s="2498"/>
      <c r="EY660" s="2498"/>
      <c r="EZ660" s="2498"/>
      <c r="FA660" s="2498"/>
    </row>
    <row r="661" spans="1:157" ht="13.2">
      <c r="A661" s="87" t="s">
        <v>124</v>
      </c>
      <c r="B661" s="12" t="s">
        <v>497</v>
      </c>
      <c r="G661" s="2072">
        <f>C639</f>
        <v>0</v>
      </c>
      <c r="H661" s="2072"/>
      <c r="I661" s="2072"/>
      <c r="J661" s="2072"/>
      <c r="K661" s="2072"/>
      <c r="L661" s="2072"/>
      <c r="M661" s="2072"/>
      <c r="N661" s="2072"/>
      <c r="O661" s="2072"/>
      <c r="P661" s="2072"/>
      <c r="Q661" s="2072"/>
      <c r="R661" s="2072"/>
      <c r="T661" s="87" t="s">
        <v>617</v>
      </c>
      <c r="U661" s="12" t="s">
        <v>497</v>
      </c>
      <c r="Z661" s="2072">
        <f>C640</f>
        <v>0</v>
      </c>
      <c r="AA661" s="2072"/>
      <c r="AB661" s="2072"/>
      <c r="AC661" s="2072"/>
      <c r="AD661" s="2072"/>
      <c r="AE661" s="2072"/>
      <c r="AF661" s="2072"/>
      <c r="AG661" s="2072"/>
      <c r="AH661" s="2072"/>
      <c r="AI661" s="2072"/>
      <c r="AJ661" s="2072"/>
      <c r="AK661" s="2072"/>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498" t="e">
        <f t="shared" si="22"/>
        <v>#VALUE!</v>
      </c>
      <c r="DY661" s="2498"/>
      <c r="DZ661" s="2498"/>
      <c r="EA661" s="2498"/>
      <c r="EB661" s="2498"/>
      <c r="EC661" s="2498" t="e">
        <f t="shared" si="23"/>
        <v>#VALUE!</v>
      </c>
      <c r="ED661" s="2498"/>
      <c r="EE661" s="2498"/>
      <c r="EF661" s="2498"/>
      <c r="EG661" s="2498"/>
      <c r="EH661" s="2498" t="e">
        <f t="shared" si="24"/>
        <v>#VALUE!</v>
      </c>
      <c r="EI661" s="2498"/>
      <c r="EJ661" s="2498"/>
      <c r="EK661" s="2498"/>
      <c r="EL661" s="2498"/>
      <c r="EM661" s="2498" t="e">
        <f t="shared" si="25"/>
        <v>#VALUE!</v>
      </c>
      <c r="EN661" s="2498"/>
      <c r="EO661" s="2498"/>
      <c r="EP661" s="2498"/>
      <c r="EQ661" s="2498"/>
      <c r="ER661" s="2498" t="e">
        <f t="shared" si="26"/>
        <v>#VALUE!</v>
      </c>
      <c r="ES661" s="2498"/>
      <c r="ET661" s="2498"/>
      <c r="EU661" s="2498"/>
      <c r="EV661" s="2498"/>
      <c r="EW661" s="2498" t="e">
        <f t="shared" si="27"/>
        <v>#VALUE!</v>
      </c>
      <c r="EX661" s="2498"/>
      <c r="EY661" s="2498"/>
      <c r="EZ661" s="2498"/>
      <c r="FA661" s="2498"/>
    </row>
    <row r="662" spans="1:157" ht="13.2">
      <c r="A662" s="35"/>
      <c r="B662" s="12" t="s">
        <v>90</v>
      </c>
      <c r="G662" s="1955"/>
      <c r="H662" s="1955"/>
      <c r="I662" s="1955"/>
      <c r="J662" s="1955"/>
      <c r="K662" s="1955"/>
      <c r="L662" s="1955"/>
      <c r="M662" s="1955"/>
      <c r="N662" s="1955"/>
      <c r="O662" s="1955"/>
      <c r="P662" s="1955"/>
      <c r="Q662" s="1955"/>
      <c r="R662" s="1955"/>
      <c r="T662" s="35"/>
      <c r="U662" s="12" t="s">
        <v>90</v>
      </c>
      <c r="Z662" s="1955"/>
      <c r="AA662" s="1955"/>
      <c r="AB662" s="1955"/>
      <c r="AC662" s="1955"/>
      <c r="AD662" s="1955"/>
      <c r="AE662" s="1955"/>
      <c r="AF662" s="1955"/>
      <c r="AG662" s="1955"/>
      <c r="AH662" s="1955"/>
      <c r="AI662" s="1955"/>
      <c r="AJ662" s="1955"/>
      <c r="AK662" s="195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498" t="e">
        <f t="shared" si="22"/>
        <v>#VALUE!</v>
      </c>
      <c r="DY662" s="2498"/>
      <c r="DZ662" s="2498"/>
      <c r="EA662" s="2498"/>
      <c r="EB662" s="2498"/>
      <c r="EC662" s="2498" t="e">
        <f t="shared" si="23"/>
        <v>#VALUE!</v>
      </c>
      <c r="ED662" s="2498"/>
      <c r="EE662" s="2498"/>
      <c r="EF662" s="2498"/>
      <c r="EG662" s="2498"/>
      <c r="EH662" s="2498" t="e">
        <f t="shared" si="24"/>
        <v>#VALUE!</v>
      </c>
      <c r="EI662" s="2498"/>
      <c r="EJ662" s="2498"/>
      <c r="EK662" s="2498"/>
      <c r="EL662" s="2498"/>
      <c r="EM662" s="2498" t="e">
        <f t="shared" si="25"/>
        <v>#VALUE!</v>
      </c>
      <c r="EN662" s="2498"/>
      <c r="EO662" s="2498"/>
      <c r="EP662" s="2498"/>
      <c r="EQ662" s="2498"/>
      <c r="ER662" s="2498" t="e">
        <f t="shared" si="26"/>
        <v>#VALUE!</v>
      </c>
      <c r="ES662" s="2498"/>
      <c r="ET662" s="2498"/>
      <c r="EU662" s="2498"/>
      <c r="EV662" s="2498"/>
      <c r="EW662" s="2498" t="e">
        <f t="shared" si="27"/>
        <v>#VALUE!</v>
      </c>
      <c r="EX662" s="2498"/>
      <c r="EY662" s="2498"/>
      <c r="EZ662" s="2498"/>
      <c r="FA662" s="2498"/>
    </row>
    <row r="663" spans="1:157" ht="13.2">
      <c r="A663" s="35"/>
      <c r="B663" s="12" t="s">
        <v>616</v>
      </c>
      <c r="G663" s="1960"/>
      <c r="H663" s="1960"/>
      <c r="I663" s="1960"/>
      <c r="J663" s="1960"/>
      <c r="K663" s="1960"/>
      <c r="L663" s="1960"/>
      <c r="M663" s="1960"/>
      <c r="N663" s="1960"/>
      <c r="O663" s="1960"/>
      <c r="P663" s="1960"/>
      <c r="Q663" s="1960"/>
      <c r="R663" s="1960"/>
      <c r="T663" s="35"/>
      <c r="U663" s="12" t="s">
        <v>616</v>
      </c>
      <c r="Z663" s="1960"/>
      <c r="AA663" s="1960"/>
      <c r="AB663" s="1960"/>
      <c r="AC663" s="1960"/>
      <c r="AD663" s="1960"/>
      <c r="AE663" s="1960"/>
      <c r="AF663" s="1960"/>
      <c r="AG663" s="1960"/>
      <c r="AH663" s="1960"/>
      <c r="AI663" s="1960"/>
      <c r="AJ663" s="1960"/>
      <c r="AK663" s="1960"/>
      <c r="AZ663" s="61"/>
      <c r="BA663" s="61"/>
      <c r="BB663" s="61"/>
      <c r="BC663" s="61"/>
      <c r="BD663" s="61"/>
      <c r="BE663" s="61"/>
      <c r="BF663" s="61"/>
      <c r="BG663" s="61"/>
      <c r="BH663" s="61"/>
      <c r="BI663" s="61"/>
      <c r="BJ663" s="61"/>
      <c r="BK663" s="61"/>
      <c r="BL663" s="61"/>
      <c r="BM663" s="61"/>
      <c r="BN663" s="2115">
        <f>BN635+BN644+BN658</f>
        <v>0</v>
      </c>
      <c r="BO663" s="2116"/>
      <c r="BP663" s="2116"/>
      <c r="BQ663" s="2116"/>
      <c r="BR663" s="2117"/>
      <c r="BS663" s="2115">
        <f>BS635+BS644+BS658</f>
        <v>0</v>
      </c>
      <c r="BT663" s="2116"/>
      <c r="BU663" s="2116"/>
      <c r="BV663" s="2116"/>
      <c r="BW663" s="2117"/>
      <c r="BX663" s="2115">
        <f>BX635+BX644+BX658</f>
        <v>6</v>
      </c>
      <c r="BY663" s="2116"/>
      <c r="BZ663" s="2116"/>
      <c r="CA663" s="2116"/>
      <c r="CB663" s="2117"/>
      <c r="CC663" s="2115">
        <f>CC635+CC644+CC658</f>
        <v>128</v>
      </c>
      <c r="CD663" s="2116"/>
      <c r="CE663" s="2116"/>
      <c r="CF663" s="2116"/>
      <c r="CG663" s="2117"/>
      <c r="CH663" s="2115">
        <f>CH635+CH644+CH658</f>
        <v>0</v>
      </c>
      <c r="CI663" s="2116"/>
      <c r="CJ663" s="2116"/>
      <c r="CK663" s="2116"/>
      <c r="CL663" s="2117"/>
      <c r="CM663" s="2102">
        <f>CM658+CM644+CM635</f>
        <v>0</v>
      </c>
      <c r="CN663" s="2118"/>
      <c r="CO663" s="2118"/>
      <c r="CP663" s="2118"/>
      <c r="CQ663" s="2103"/>
      <c r="CR663" s="177"/>
      <c r="CS663" s="1472">
        <f>CS637+CS661</f>
        <v>393</v>
      </c>
      <c r="CT663" s="134" t="s">
        <v>2455</v>
      </c>
      <c r="CU663" s="58"/>
      <c r="CV663" s="58"/>
      <c r="CW663" s="58"/>
      <c r="CX663" s="58"/>
      <c r="CY663" s="58"/>
      <c r="CZ663" s="58"/>
      <c r="DA663" s="58"/>
      <c r="DB663" s="58"/>
      <c r="DC663" s="58"/>
      <c r="DD663" s="58"/>
      <c r="DE663" s="58"/>
      <c r="DF663" s="58"/>
      <c r="DX663" s="2498">
        <f>SUMIF(DX638:EB662,"&gt;0")</f>
        <v>0</v>
      </c>
      <c r="DY663" s="2498"/>
      <c r="DZ663" s="2498"/>
      <c r="EA663" s="2498"/>
      <c r="EB663" s="2498"/>
      <c r="EC663" s="2498">
        <f>SUMIF(EC638:EG662,"&gt;0")</f>
        <v>0</v>
      </c>
      <c r="ED663" s="2498"/>
      <c r="EE663" s="2498"/>
      <c r="EF663" s="2498"/>
      <c r="EG663" s="2498"/>
      <c r="EH663" s="2498">
        <f>SUMIF(EH638:EL662,"&gt;0")</f>
        <v>1420.1666666666665</v>
      </c>
      <c r="EI663" s="2498"/>
      <c r="EJ663" s="2498"/>
      <c r="EK663" s="2498"/>
      <c r="EL663" s="2498"/>
      <c r="EM663" s="2498">
        <f>SUMIF(EM638:EQ662,"&gt;0")</f>
        <v>1633.7952755905512</v>
      </c>
      <c r="EN663" s="2498"/>
      <c r="EO663" s="2498"/>
      <c r="EP663" s="2498"/>
      <c r="EQ663" s="2498"/>
      <c r="ER663" s="2498">
        <f>SUMIF(ER638:EV662,"&gt;0")</f>
        <v>0</v>
      </c>
      <c r="ES663" s="2498"/>
      <c r="ET663" s="2498"/>
      <c r="EU663" s="2498"/>
      <c r="EV663" s="2498"/>
      <c r="EW663" s="2498">
        <f>SUMIF(EW638:FA662,"&gt;0")</f>
        <v>0</v>
      </c>
      <c r="EX663" s="2498"/>
      <c r="EY663" s="2498"/>
      <c r="EZ663" s="2498"/>
      <c r="FA663" s="2498"/>
    </row>
    <row r="664" spans="1:157" ht="13.2">
      <c r="A664" s="35"/>
      <c r="B664" s="12" t="s">
        <v>17</v>
      </c>
      <c r="G664" s="1960"/>
      <c r="H664" s="1960"/>
      <c r="I664" s="1960"/>
      <c r="J664" s="1960"/>
      <c r="K664" s="1960"/>
      <c r="L664" s="1960"/>
      <c r="M664" s="1960"/>
      <c r="N664" s="1960"/>
      <c r="O664" s="1960"/>
      <c r="P664" s="1960"/>
      <c r="Q664" s="1960"/>
      <c r="R664" s="1960"/>
      <c r="T664" s="35"/>
      <c r="U664" s="12" t="s">
        <v>17</v>
      </c>
      <c r="Z664" s="1960"/>
      <c r="AA664" s="1960"/>
      <c r="AB664" s="1960"/>
      <c r="AC664" s="1960"/>
      <c r="AD664" s="1960"/>
      <c r="AE664" s="1960"/>
      <c r="AF664" s="1960"/>
      <c r="AG664" s="1960"/>
      <c r="AH664" s="1960"/>
      <c r="AI664" s="1960"/>
      <c r="AJ664" s="1960"/>
      <c r="AK664" s="196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22"/>
      <c r="H665" s="2022"/>
      <c r="I665" s="2022"/>
      <c r="J665" s="2022"/>
      <c r="K665" s="2022"/>
      <c r="L665" s="2022"/>
      <c r="O665" s="137" t="s">
        <v>212</v>
      </c>
      <c r="P665" s="2027"/>
      <c r="Q665" s="2027"/>
      <c r="R665" s="2027"/>
      <c r="T665" s="35"/>
      <c r="U665" s="12" t="s">
        <v>327</v>
      </c>
      <c r="Z665" s="2022"/>
      <c r="AA665" s="2022"/>
      <c r="AB665" s="2022"/>
      <c r="AC665" s="2022"/>
      <c r="AD665" s="2022"/>
      <c r="AE665" s="2022"/>
      <c r="AH665" s="137" t="s">
        <v>212</v>
      </c>
      <c r="AI665" s="2027"/>
      <c r="AJ665" s="2027"/>
      <c r="AK665" s="202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1955"/>
      <c r="I666" s="1955"/>
      <c r="J666" s="1955"/>
      <c r="K666" s="1955"/>
      <c r="L666" s="1955"/>
      <c r="M666" s="1955"/>
      <c r="N666" s="1955"/>
      <c r="O666" s="1955"/>
      <c r="P666" s="1955"/>
      <c r="Q666" s="1955"/>
      <c r="R666" s="1955"/>
      <c r="T666" s="35"/>
      <c r="U666" s="12" t="s">
        <v>18</v>
      </c>
      <c r="AA666" s="1955"/>
      <c r="AB666" s="1955"/>
      <c r="AC666" s="1955"/>
      <c r="AD666" s="1955"/>
      <c r="AE666" s="1955"/>
      <c r="AF666" s="1955"/>
      <c r="AG666" s="1955"/>
      <c r="AH666" s="1955"/>
      <c r="AI666" s="1955"/>
      <c r="AJ666" s="1955"/>
      <c r="AK666" s="1955"/>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1961" t="s">
        <v>707</v>
      </c>
      <c r="O667" s="1961"/>
      <c r="T667" s="35"/>
      <c r="U667" s="12" t="s">
        <v>20</v>
      </c>
      <c r="AG667" s="1961" t="s">
        <v>707</v>
      </c>
      <c r="AH667" s="1961"/>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824</v>
      </c>
      <c r="B669" s="12" t="s">
        <v>497</v>
      </c>
      <c r="G669" s="2072">
        <f>C641</f>
        <v>0</v>
      </c>
      <c r="H669" s="2072"/>
      <c r="I669" s="2072"/>
      <c r="J669" s="2072"/>
      <c r="K669" s="2072"/>
      <c r="L669" s="2072"/>
      <c r="M669" s="2072"/>
      <c r="N669" s="2072"/>
      <c r="O669" s="2072"/>
      <c r="P669" s="2072"/>
      <c r="Q669" s="2072"/>
      <c r="R669" s="2072"/>
      <c r="T669" s="87" t="s">
        <v>620</v>
      </c>
      <c r="U669" s="12" t="s">
        <v>497</v>
      </c>
      <c r="Z669" s="2072">
        <f>C642</f>
        <v>0</v>
      </c>
      <c r="AA669" s="2072"/>
      <c r="AB669" s="2072"/>
      <c r="AC669" s="2072"/>
      <c r="AD669" s="2072"/>
      <c r="AE669" s="2072"/>
      <c r="AF669" s="2072"/>
      <c r="AG669" s="2072"/>
      <c r="AH669" s="2072"/>
      <c r="AI669" s="2072"/>
      <c r="AJ669" s="2072"/>
      <c r="AK669" s="2072"/>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1955"/>
      <c r="H670" s="1955"/>
      <c r="I670" s="1955"/>
      <c r="J670" s="1955"/>
      <c r="K670" s="1955"/>
      <c r="L670" s="1955"/>
      <c r="M670" s="1955"/>
      <c r="N670" s="1955"/>
      <c r="O670" s="1955"/>
      <c r="P670" s="1955"/>
      <c r="Q670" s="1955"/>
      <c r="R670" s="1955"/>
      <c r="T670" s="35"/>
      <c r="U670" s="12" t="s">
        <v>90</v>
      </c>
      <c r="Z670" s="1955"/>
      <c r="AA670" s="1955"/>
      <c r="AB670" s="1955"/>
      <c r="AC670" s="1955"/>
      <c r="AD670" s="1955"/>
      <c r="AE670" s="1955"/>
      <c r="AF670" s="1955"/>
      <c r="AG670" s="1955"/>
      <c r="AH670" s="1955"/>
      <c r="AI670" s="1955"/>
      <c r="AJ670" s="1955"/>
      <c r="AK670" s="1955"/>
      <c r="AZ670" s="58"/>
      <c r="BA670" s="447">
        <f t="shared" ref="BA670:BA694" si="40">IF($G728=0,"N/A",VLOOKUP($T$189,TC_Rent,(MATCH($B728,bedrooms,FALSE))))</f>
        <v>2556</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616</v>
      </c>
      <c r="G671" s="1955"/>
      <c r="H671" s="1955"/>
      <c r="I671" s="1955"/>
      <c r="J671" s="1955"/>
      <c r="K671" s="1955"/>
      <c r="L671" s="1955"/>
      <c r="M671" s="1955"/>
      <c r="N671" s="1955"/>
      <c r="O671" s="1955"/>
      <c r="P671" s="1955"/>
      <c r="Q671" s="1955"/>
      <c r="R671" s="1955"/>
      <c r="T671" s="35"/>
      <c r="U671" s="12" t="s">
        <v>616</v>
      </c>
      <c r="Z671" s="1960"/>
      <c r="AA671" s="1960"/>
      <c r="AB671" s="1960"/>
      <c r="AC671" s="1960"/>
      <c r="AD671" s="1960"/>
      <c r="AE671" s="1960"/>
      <c r="AF671" s="1960"/>
      <c r="AG671" s="1960"/>
      <c r="AH671" s="1960"/>
      <c r="AI671" s="1960"/>
      <c r="AJ671" s="1960"/>
      <c r="AK671" s="1960"/>
      <c r="AZ671" s="58"/>
      <c r="BA671" s="447">
        <f t="shared" si="40"/>
        <v>2556</v>
      </c>
      <c r="BB671" s="58"/>
      <c r="BC671" s="58"/>
      <c r="BD671" s="58"/>
      <c r="BE671" s="58"/>
      <c r="BF671" s="383"/>
      <c r="BG671" s="457">
        <f t="shared" ref="BG671:BG695" si="41">G728</f>
        <v>4</v>
      </c>
      <c r="BH671" s="461">
        <f>BG671/$BG$696</f>
        <v>3.007518796992481E-2</v>
      </c>
      <c r="BI671" s="462">
        <f t="shared" ref="BI671:BI695" si="42">IF(BH671=0," ",BH671*AH728)</f>
        <v>2.1052631578947364E-2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1955"/>
      <c r="H672" s="1955"/>
      <c r="I672" s="1955"/>
      <c r="J672" s="1955"/>
      <c r="K672" s="1955"/>
      <c r="L672" s="1955"/>
      <c r="M672" s="1955"/>
      <c r="N672" s="1955"/>
      <c r="O672" s="1955"/>
      <c r="P672" s="1955"/>
      <c r="Q672" s="1955"/>
      <c r="R672" s="1955"/>
      <c r="T672" s="35"/>
      <c r="U672" s="12" t="s">
        <v>17</v>
      </c>
      <c r="Z672" s="1960"/>
      <c r="AA672" s="1960"/>
      <c r="AB672" s="1960"/>
      <c r="AC672" s="1960"/>
      <c r="AD672" s="1960"/>
      <c r="AE672" s="1960"/>
      <c r="AF672" s="1960"/>
      <c r="AG672" s="1960"/>
      <c r="AH672" s="1960"/>
      <c r="AI672" s="1960"/>
      <c r="AJ672" s="1960"/>
      <c r="AK672" s="1960"/>
      <c r="AZ672" s="58"/>
      <c r="BA672" s="447">
        <f t="shared" si="40"/>
        <v>2556</v>
      </c>
      <c r="BB672" s="58"/>
      <c r="BC672" s="58"/>
      <c r="BD672" s="58"/>
      <c r="BE672" s="58"/>
      <c r="BF672" s="383"/>
      <c r="BG672" s="458">
        <f t="shared" si="41"/>
        <v>1</v>
      </c>
      <c r="BH672" s="461">
        <f t="shared" ref="BH672:BH695" si="43">BG672/$BG$696</f>
        <v>7.5187969924812026E-3</v>
      </c>
      <c r="BI672" s="462">
        <f t="shared" si="42"/>
        <v>3.7593984962406013E-3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22"/>
      <c r="H673" s="2022"/>
      <c r="I673" s="2022"/>
      <c r="J673" s="2022"/>
      <c r="K673" s="2022"/>
      <c r="L673" s="2022"/>
      <c r="O673" s="137" t="s">
        <v>212</v>
      </c>
      <c r="P673" s="2027"/>
      <c r="Q673" s="2027"/>
      <c r="R673" s="2027"/>
      <c r="T673" s="35"/>
      <c r="U673" s="12" t="s">
        <v>327</v>
      </c>
      <c r="Z673" s="2022"/>
      <c r="AA673" s="2022"/>
      <c r="AB673" s="2022"/>
      <c r="AC673" s="2022"/>
      <c r="AD673" s="2022"/>
      <c r="AE673" s="2022"/>
      <c r="AH673" s="137" t="s">
        <v>212</v>
      </c>
      <c r="AI673" s="2027"/>
      <c r="AJ673" s="2027"/>
      <c r="AK673" s="2027"/>
      <c r="AZ673" s="58"/>
      <c r="BA673" s="447">
        <f t="shared" si="40"/>
        <v>2952</v>
      </c>
      <c r="BB673" s="58"/>
      <c r="BC673" s="58"/>
      <c r="BD673" s="58"/>
      <c r="BE673" s="58"/>
      <c r="BF673" s="383"/>
      <c r="BG673" s="458">
        <f t="shared" si="41"/>
        <v>1</v>
      </c>
      <c r="BH673" s="461">
        <f t="shared" si="43"/>
        <v>7.5187969924812026E-3</v>
      </c>
      <c r="BI673" s="462">
        <f t="shared" si="42"/>
        <v>2.2556390977443606E-3</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1955"/>
      <c r="I674" s="1955"/>
      <c r="J674" s="1955"/>
      <c r="K674" s="1955"/>
      <c r="L674" s="1955"/>
      <c r="M674" s="1955"/>
      <c r="N674" s="1955"/>
      <c r="O674" s="1955"/>
      <c r="P674" s="1955"/>
      <c r="Q674" s="1955"/>
      <c r="R674" s="1955"/>
      <c r="T674" s="35"/>
      <c r="U674" s="12" t="s">
        <v>18</v>
      </c>
      <c r="AA674" s="1955"/>
      <c r="AB674" s="1955"/>
      <c r="AC674" s="1955"/>
      <c r="AD674" s="1955"/>
      <c r="AE674" s="1955"/>
      <c r="AF674" s="1955"/>
      <c r="AG674" s="1955"/>
      <c r="AH674" s="1955"/>
      <c r="AI674" s="1955"/>
      <c r="AJ674" s="1955"/>
      <c r="AK674" s="1955"/>
      <c r="AZ674" s="58"/>
      <c r="BA674" s="447">
        <f t="shared" si="40"/>
        <v>2952</v>
      </c>
      <c r="BB674" s="58"/>
      <c r="BC674" s="58"/>
      <c r="BD674" s="58"/>
      <c r="BE674" s="58"/>
      <c r="BF674" s="383"/>
      <c r="BG674" s="458">
        <f t="shared" si="41"/>
        <v>52</v>
      </c>
      <c r="BH674" s="461">
        <f t="shared" si="43"/>
        <v>0.39097744360902253</v>
      </c>
      <c r="BI674" s="462">
        <f t="shared" si="42"/>
        <v>0.27368421052631575</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961" t="s">
        <v>707</v>
      </c>
      <c r="O675" s="1961"/>
      <c r="T675" s="35"/>
      <c r="U675" s="12" t="s">
        <v>20</v>
      </c>
      <c r="AG675" s="1961" t="s">
        <v>707</v>
      </c>
      <c r="AH675" s="1961"/>
      <c r="AZ675" s="58"/>
      <c r="BA675" s="447">
        <f t="shared" si="40"/>
        <v>2952</v>
      </c>
      <c r="BB675" s="58"/>
      <c r="BC675" s="58"/>
      <c r="BD675" s="58"/>
      <c r="BE675" s="58"/>
      <c r="BF675" s="383"/>
      <c r="BG675" s="458">
        <f t="shared" si="41"/>
        <v>49</v>
      </c>
      <c r="BH675" s="461">
        <f t="shared" si="43"/>
        <v>0.36842105263157893</v>
      </c>
      <c r="BI675" s="462">
        <f t="shared" si="42"/>
        <v>0.22105263157894736</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f t="shared" si="40"/>
        <v>2952</v>
      </c>
      <c r="BB676" s="58"/>
      <c r="BC676" s="58"/>
      <c r="BD676" s="58"/>
      <c r="BE676" s="58"/>
      <c r="BF676" s="383"/>
      <c r="BG676" s="458">
        <f t="shared" si="41"/>
        <v>13</v>
      </c>
      <c r="BH676" s="461">
        <f t="shared" si="43"/>
        <v>9.7744360902255634E-2</v>
      </c>
      <c r="BI676" s="462">
        <f t="shared" si="42"/>
        <v>4.8872180451127817E-2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488</v>
      </c>
      <c r="B677" s="12" t="s">
        <v>497</v>
      </c>
      <c r="G677" s="2072">
        <f>C643</f>
        <v>0</v>
      </c>
      <c r="H677" s="2072"/>
      <c r="I677" s="2072"/>
      <c r="J677" s="2072"/>
      <c r="K677" s="2072"/>
      <c r="L677" s="2072"/>
      <c r="M677" s="2072"/>
      <c r="N677" s="2072"/>
      <c r="O677" s="2072"/>
      <c r="P677" s="2072"/>
      <c r="Q677" s="2072"/>
      <c r="R677" s="2072"/>
      <c r="T677" s="87" t="s">
        <v>489</v>
      </c>
      <c r="U677" s="12" t="s">
        <v>497</v>
      </c>
      <c r="Z677" s="2072">
        <f>C644</f>
        <v>0</v>
      </c>
      <c r="AA677" s="2072"/>
      <c r="AB677" s="2072"/>
      <c r="AC677" s="2072"/>
      <c r="AD677" s="2072"/>
      <c r="AE677" s="2072"/>
      <c r="AF677" s="2072"/>
      <c r="AG677" s="2072"/>
      <c r="AH677" s="2072"/>
      <c r="AI677" s="2072"/>
      <c r="AJ677" s="2072"/>
      <c r="AK677" s="2072"/>
      <c r="AZ677" s="58"/>
      <c r="BA677" s="447" t="str">
        <f t="shared" si="40"/>
        <v>N/A</v>
      </c>
      <c r="BB677" s="58"/>
      <c r="BC677" s="58"/>
      <c r="BD677" s="58"/>
      <c r="BE677" s="58"/>
      <c r="BF677" s="383"/>
      <c r="BG677" s="458">
        <f t="shared" si="41"/>
        <v>13</v>
      </c>
      <c r="BH677" s="461">
        <f t="shared" si="43"/>
        <v>9.7744360902255634E-2</v>
      </c>
      <c r="BI677" s="462">
        <f t="shared" si="42"/>
        <v>2.9323308270676689E-2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1955"/>
      <c r="H678" s="1955"/>
      <c r="I678" s="1955"/>
      <c r="J678" s="1955"/>
      <c r="K678" s="1955"/>
      <c r="L678" s="1955"/>
      <c r="M678" s="1955"/>
      <c r="N678" s="1955"/>
      <c r="O678" s="1955"/>
      <c r="P678" s="1955"/>
      <c r="Q678" s="1955"/>
      <c r="R678" s="1955"/>
      <c r="T678" s="35"/>
      <c r="U678" s="12" t="s">
        <v>90</v>
      </c>
      <c r="Z678" s="1955"/>
      <c r="AA678" s="1955"/>
      <c r="AB678" s="1955"/>
      <c r="AC678" s="1955"/>
      <c r="AD678" s="1955"/>
      <c r="AE678" s="1955"/>
      <c r="AF678" s="1955"/>
      <c r="AG678" s="1955"/>
      <c r="AH678" s="1955"/>
      <c r="AI678" s="1955"/>
      <c r="AJ678" s="1955"/>
      <c r="AK678" s="1955"/>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616</v>
      </c>
      <c r="G679" s="1955"/>
      <c r="H679" s="1955"/>
      <c r="I679" s="1955"/>
      <c r="J679" s="1955"/>
      <c r="K679" s="1955"/>
      <c r="L679" s="1955"/>
      <c r="M679" s="1955"/>
      <c r="N679" s="1955"/>
      <c r="O679" s="1955"/>
      <c r="P679" s="1955"/>
      <c r="Q679" s="1955"/>
      <c r="R679" s="1955"/>
      <c r="T679" s="35"/>
      <c r="U679" s="12" t="s">
        <v>616</v>
      </c>
      <c r="Z679" s="1960"/>
      <c r="AA679" s="1960"/>
      <c r="AB679" s="1960"/>
      <c r="AC679" s="1960"/>
      <c r="AD679" s="1960"/>
      <c r="AE679" s="1960"/>
      <c r="AF679" s="1960"/>
      <c r="AG679" s="1960"/>
      <c r="AH679" s="1960"/>
      <c r="AI679" s="1960"/>
      <c r="AJ679" s="1960"/>
      <c r="AK679" s="1960"/>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1955"/>
      <c r="H680" s="1955"/>
      <c r="I680" s="1955"/>
      <c r="J680" s="1955"/>
      <c r="K680" s="1955"/>
      <c r="L680" s="1955"/>
      <c r="M680" s="1955"/>
      <c r="N680" s="1955"/>
      <c r="O680" s="1955"/>
      <c r="P680" s="1955"/>
      <c r="Q680" s="1955"/>
      <c r="R680" s="1955"/>
      <c r="T680" s="35"/>
      <c r="U680" s="12" t="s">
        <v>17</v>
      </c>
      <c r="Z680" s="1960"/>
      <c r="AA680" s="1960"/>
      <c r="AB680" s="1960"/>
      <c r="AC680" s="1960"/>
      <c r="AD680" s="1960"/>
      <c r="AE680" s="1960"/>
      <c r="AF680" s="1960"/>
      <c r="AG680" s="1960"/>
      <c r="AH680" s="1960"/>
      <c r="AI680" s="1960"/>
      <c r="AJ680" s="1960"/>
      <c r="AK680" s="1960"/>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22"/>
      <c r="H681" s="2022"/>
      <c r="I681" s="2022"/>
      <c r="J681" s="2022"/>
      <c r="K681" s="2022"/>
      <c r="L681" s="2022"/>
      <c r="O681" s="137" t="s">
        <v>212</v>
      </c>
      <c r="P681" s="2027"/>
      <c r="Q681" s="2027"/>
      <c r="R681" s="2027"/>
      <c r="T681" s="35"/>
      <c r="U681" s="12" t="s">
        <v>327</v>
      </c>
      <c r="Z681" s="2022"/>
      <c r="AA681" s="2022"/>
      <c r="AB681" s="2022"/>
      <c r="AC681" s="2022"/>
      <c r="AD681" s="2022"/>
      <c r="AE681" s="2022"/>
      <c r="AH681" s="137" t="s">
        <v>212</v>
      </c>
      <c r="AI681" s="2027"/>
      <c r="AJ681" s="2027"/>
      <c r="AK681" s="2027"/>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1955"/>
      <c r="I682" s="1955"/>
      <c r="J682" s="1955"/>
      <c r="K682" s="1955"/>
      <c r="L682" s="1955"/>
      <c r="M682" s="1955"/>
      <c r="N682" s="1955"/>
      <c r="O682" s="1955"/>
      <c r="P682" s="1955"/>
      <c r="Q682" s="1955"/>
      <c r="R682" s="1955"/>
      <c r="T682" s="35"/>
      <c r="U682" s="12" t="s">
        <v>18</v>
      </c>
      <c r="AA682" s="1955"/>
      <c r="AB682" s="1955"/>
      <c r="AC682" s="1955"/>
      <c r="AD682" s="1955"/>
      <c r="AE682" s="1955"/>
      <c r="AF682" s="1955"/>
      <c r="AG682" s="1955"/>
      <c r="AH682" s="1955"/>
      <c r="AI682" s="1955"/>
      <c r="AJ682" s="1955"/>
      <c r="AK682" s="1955"/>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961" t="s">
        <v>707</v>
      </c>
      <c r="O683" s="1961"/>
      <c r="T683" s="35"/>
      <c r="U683" s="12" t="s">
        <v>20</v>
      </c>
      <c r="AG683" s="1961" t="s">
        <v>707</v>
      </c>
      <c r="AH683" s="1961"/>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495</v>
      </c>
      <c r="B685" s="12" t="s">
        <v>497</v>
      </c>
      <c r="G685" s="2072">
        <f>C645</f>
        <v>0</v>
      </c>
      <c r="H685" s="2072"/>
      <c r="I685" s="2072"/>
      <c r="J685" s="2072"/>
      <c r="K685" s="2072"/>
      <c r="L685" s="2072"/>
      <c r="M685" s="2072"/>
      <c r="N685" s="2072"/>
      <c r="O685" s="2072"/>
      <c r="P685" s="2072"/>
      <c r="Q685" s="2072"/>
      <c r="R685" s="2072"/>
      <c r="T685" s="87" t="s">
        <v>682</v>
      </c>
      <c r="U685" s="12" t="s">
        <v>497</v>
      </c>
      <c r="Z685" s="2072">
        <f>C646</f>
        <v>0</v>
      </c>
      <c r="AA685" s="2072"/>
      <c r="AB685" s="2072"/>
      <c r="AC685" s="2072"/>
      <c r="AD685" s="2072"/>
      <c r="AE685" s="2072"/>
      <c r="AF685" s="2072"/>
      <c r="AG685" s="2072"/>
      <c r="AH685" s="2072"/>
      <c r="AI685" s="2072"/>
      <c r="AJ685" s="2072"/>
      <c r="AK685" s="2072"/>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1955"/>
      <c r="H686" s="1955"/>
      <c r="I686" s="1955"/>
      <c r="J686" s="1955"/>
      <c r="K686" s="1955"/>
      <c r="L686" s="1955"/>
      <c r="M686" s="1955"/>
      <c r="N686" s="1955"/>
      <c r="O686" s="1955"/>
      <c r="P686" s="1955"/>
      <c r="Q686" s="1955"/>
      <c r="R686" s="1955"/>
      <c r="T686" s="35"/>
      <c r="U686" s="12" t="s">
        <v>90</v>
      </c>
      <c r="Z686" s="1955"/>
      <c r="AA686" s="1955"/>
      <c r="AB686" s="1955"/>
      <c r="AC686" s="1955"/>
      <c r="AD686" s="1955"/>
      <c r="AE686" s="1955"/>
      <c r="AF686" s="1955"/>
      <c r="AG686" s="1955"/>
      <c r="AH686" s="1955"/>
      <c r="AI686" s="1955"/>
      <c r="AJ686" s="1955"/>
      <c r="AK686" s="1955"/>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616</v>
      </c>
      <c r="G687" s="1955"/>
      <c r="H687" s="1955"/>
      <c r="I687" s="1955"/>
      <c r="J687" s="1955"/>
      <c r="K687" s="1955"/>
      <c r="L687" s="1955"/>
      <c r="M687" s="1955"/>
      <c r="N687" s="1955"/>
      <c r="O687" s="1955"/>
      <c r="P687" s="1955"/>
      <c r="Q687" s="1955"/>
      <c r="R687" s="1955"/>
      <c r="T687" s="35"/>
      <c r="U687" s="12" t="s">
        <v>616</v>
      </c>
      <c r="Z687" s="1960"/>
      <c r="AA687" s="1960"/>
      <c r="AB687" s="1960"/>
      <c r="AC687" s="1960"/>
      <c r="AD687" s="1960"/>
      <c r="AE687" s="1960"/>
      <c r="AF687" s="1960"/>
      <c r="AG687" s="1960"/>
      <c r="AH687" s="1960"/>
      <c r="AI687" s="1960"/>
      <c r="AJ687" s="1960"/>
      <c r="AK687" s="1960"/>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1955"/>
      <c r="H688" s="1955"/>
      <c r="I688" s="1955"/>
      <c r="J688" s="1955"/>
      <c r="K688" s="1955"/>
      <c r="L688" s="1955"/>
      <c r="M688" s="1955"/>
      <c r="N688" s="1955"/>
      <c r="O688" s="1955"/>
      <c r="P688" s="1955"/>
      <c r="Q688" s="1955"/>
      <c r="R688" s="1955"/>
      <c r="T688" s="35"/>
      <c r="U688" s="12" t="s">
        <v>17</v>
      </c>
      <c r="Z688" s="1960"/>
      <c r="AA688" s="1960"/>
      <c r="AB688" s="1960"/>
      <c r="AC688" s="1960"/>
      <c r="AD688" s="1960"/>
      <c r="AE688" s="1960"/>
      <c r="AF688" s="1960"/>
      <c r="AG688" s="1960"/>
      <c r="AH688" s="1960"/>
      <c r="AI688" s="1960"/>
      <c r="AJ688" s="1960"/>
      <c r="AK688" s="1960"/>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22"/>
      <c r="H689" s="2022"/>
      <c r="I689" s="2022"/>
      <c r="J689" s="2022"/>
      <c r="K689" s="2022"/>
      <c r="L689" s="2022"/>
      <c r="O689" s="137" t="s">
        <v>212</v>
      </c>
      <c r="P689" s="2027"/>
      <c r="Q689" s="2027"/>
      <c r="R689" s="2027"/>
      <c r="T689" s="35"/>
      <c r="U689" s="12" t="s">
        <v>327</v>
      </c>
      <c r="Z689" s="2022"/>
      <c r="AA689" s="2022"/>
      <c r="AB689" s="2022"/>
      <c r="AC689" s="2022"/>
      <c r="AD689" s="2022"/>
      <c r="AE689" s="2022"/>
      <c r="AH689" s="137" t="s">
        <v>212</v>
      </c>
      <c r="AI689" s="2027"/>
      <c r="AJ689" s="2027"/>
      <c r="AK689" s="2027"/>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1955"/>
      <c r="I690" s="1955"/>
      <c r="J690" s="1955"/>
      <c r="K690" s="1955"/>
      <c r="L690" s="1955"/>
      <c r="M690" s="1955"/>
      <c r="N690" s="1955"/>
      <c r="O690" s="1955"/>
      <c r="P690" s="1955"/>
      <c r="Q690" s="1955"/>
      <c r="R690" s="1955"/>
      <c r="T690" s="35"/>
      <c r="U690" s="12" t="s">
        <v>18</v>
      </c>
      <c r="AA690" s="1955"/>
      <c r="AB690" s="1955"/>
      <c r="AC690" s="1955"/>
      <c r="AD690" s="1955"/>
      <c r="AE690" s="1955"/>
      <c r="AF690" s="1955"/>
      <c r="AG690" s="1955"/>
      <c r="AH690" s="1955"/>
      <c r="AI690" s="1955"/>
      <c r="AJ690" s="1955"/>
      <c r="AK690" s="1955"/>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961" t="s">
        <v>707</v>
      </c>
      <c r="O691" s="1961"/>
      <c r="T691" s="35"/>
      <c r="U691" s="12" t="s">
        <v>20</v>
      </c>
      <c r="AG691" s="1961" t="s">
        <v>707</v>
      </c>
      <c r="AH691" s="1961"/>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497</v>
      </c>
      <c r="G693" s="2072">
        <f>C647</f>
        <v>0</v>
      </c>
      <c r="H693" s="2072"/>
      <c r="I693" s="2072"/>
      <c r="J693" s="2072"/>
      <c r="K693" s="2072"/>
      <c r="L693" s="2072"/>
      <c r="M693" s="2072"/>
      <c r="N693" s="2072"/>
      <c r="O693" s="2072"/>
      <c r="P693" s="2072"/>
      <c r="Q693" s="2072"/>
      <c r="R693" s="2072"/>
      <c r="T693" s="87" t="s">
        <v>375</v>
      </c>
      <c r="U693" s="12" t="s">
        <v>497</v>
      </c>
      <c r="Z693" s="2072">
        <f>C648</f>
        <v>0</v>
      </c>
      <c r="AA693" s="2072"/>
      <c r="AB693" s="2072"/>
      <c r="AC693" s="2072"/>
      <c r="AD693" s="2072"/>
      <c r="AE693" s="2072"/>
      <c r="AF693" s="2072"/>
      <c r="AG693" s="2072"/>
      <c r="AH693" s="2072"/>
      <c r="AI693" s="2072"/>
      <c r="AJ693" s="2072"/>
      <c r="AK693" s="2072"/>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1955"/>
      <c r="H694" s="1955"/>
      <c r="I694" s="1955"/>
      <c r="J694" s="1955"/>
      <c r="K694" s="1955"/>
      <c r="L694" s="1955"/>
      <c r="M694" s="1955"/>
      <c r="N694" s="1955"/>
      <c r="O694" s="1955"/>
      <c r="P694" s="1955"/>
      <c r="Q694" s="1955"/>
      <c r="R694" s="1955"/>
      <c r="T694" s="35"/>
      <c r="U694" s="12" t="s">
        <v>90</v>
      </c>
      <c r="Z694" s="1955"/>
      <c r="AA694" s="1955"/>
      <c r="AB694" s="1955"/>
      <c r="AC694" s="1955"/>
      <c r="AD694" s="1955"/>
      <c r="AE694" s="1955"/>
      <c r="AF694" s="1955"/>
      <c r="AG694" s="1955"/>
      <c r="AH694" s="1955"/>
      <c r="AI694" s="1955"/>
      <c r="AJ694" s="1955"/>
      <c r="AK694" s="1955"/>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616</v>
      </c>
      <c r="G695" s="1955"/>
      <c r="H695" s="1955"/>
      <c r="I695" s="1955"/>
      <c r="J695" s="1955"/>
      <c r="K695" s="1955"/>
      <c r="L695" s="1955"/>
      <c r="M695" s="1955"/>
      <c r="N695" s="1955"/>
      <c r="O695" s="1955"/>
      <c r="P695" s="1955"/>
      <c r="Q695" s="1955"/>
      <c r="R695" s="1955"/>
      <c r="U695" s="12" t="s">
        <v>616</v>
      </c>
      <c r="Z695" s="1960"/>
      <c r="AA695" s="1960"/>
      <c r="AB695" s="1960"/>
      <c r="AC695" s="1960"/>
      <c r="AD695" s="1960"/>
      <c r="AE695" s="1960"/>
      <c r="AF695" s="1960"/>
      <c r="AG695" s="1960"/>
      <c r="AH695" s="1960"/>
      <c r="AI695" s="1960"/>
      <c r="AJ695" s="1960"/>
      <c r="AK695" s="1960"/>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1955"/>
      <c r="H696" s="1955"/>
      <c r="I696" s="1955"/>
      <c r="J696" s="1955"/>
      <c r="K696" s="1955"/>
      <c r="L696" s="1955"/>
      <c r="M696" s="1955"/>
      <c r="N696" s="1955"/>
      <c r="O696" s="1955"/>
      <c r="P696" s="1955"/>
      <c r="Q696" s="1955"/>
      <c r="R696" s="1955"/>
      <c r="U696" s="12" t="s">
        <v>17</v>
      </c>
      <c r="Z696" s="1960"/>
      <c r="AA696" s="1960"/>
      <c r="AB696" s="1960"/>
      <c r="AC696" s="1960"/>
      <c r="AD696" s="1960"/>
      <c r="AE696" s="1960"/>
      <c r="AF696" s="1960"/>
      <c r="AG696" s="1960"/>
      <c r="AH696" s="1960"/>
      <c r="AI696" s="1960"/>
      <c r="AJ696" s="1960"/>
      <c r="AK696" s="1960"/>
      <c r="AZ696" s="58"/>
      <c r="BA696" s="58"/>
      <c r="BB696" s="58"/>
      <c r="BC696" s="58"/>
      <c r="BD696" s="58"/>
      <c r="BF696" s="454" t="s">
        <v>971</v>
      </c>
      <c r="BG696" s="463">
        <f>SUM(BG671:BG695)</f>
        <v>133</v>
      </c>
      <c r="BH696" s="464">
        <f>SUM(BH671:BH695)</f>
        <v>1</v>
      </c>
      <c r="BI696" s="464">
        <f>SUM(BI671:BI695)</f>
        <v>0.6</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22"/>
      <c r="H697" s="2022"/>
      <c r="I697" s="2022"/>
      <c r="J697" s="2022"/>
      <c r="K697" s="2022"/>
      <c r="L697" s="2022"/>
      <c r="O697" s="137" t="s">
        <v>212</v>
      </c>
      <c r="P697" s="2027"/>
      <c r="Q697" s="2027"/>
      <c r="R697" s="2027"/>
      <c r="U697" s="12" t="s">
        <v>327</v>
      </c>
      <c r="Z697" s="2022"/>
      <c r="AA697" s="2022"/>
      <c r="AB697" s="2022"/>
      <c r="AC697" s="2022"/>
      <c r="AD697" s="2022"/>
      <c r="AE697" s="2022"/>
      <c r="AH697" s="137" t="s">
        <v>212</v>
      </c>
      <c r="AI697" s="2027"/>
      <c r="AJ697" s="2027"/>
      <c r="AK697" s="202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1955"/>
      <c r="I698" s="1955"/>
      <c r="J698" s="1955"/>
      <c r="K698" s="1955"/>
      <c r="L698" s="1955"/>
      <c r="M698" s="1955"/>
      <c r="N698" s="1955"/>
      <c r="O698" s="1955"/>
      <c r="P698" s="1955"/>
      <c r="Q698" s="1955"/>
      <c r="R698" s="1955"/>
      <c r="U698" s="12" t="s">
        <v>18</v>
      </c>
      <c r="AA698" s="1955"/>
      <c r="AB698" s="1955"/>
      <c r="AC698" s="1955"/>
      <c r="AD698" s="1955"/>
      <c r="AE698" s="1955"/>
      <c r="AF698" s="1955"/>
      <c r="AG698" s="1955"/>
      <c r="AH698" s="1955"/>
      <c r="AI698" s="1955"/>
      <c r="AJ698" s="1955"/>
      <c r="AK698" s="1955"/>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961" t="s">
        <v>707</v>
      </c>
      <c r="O699" s="1961"/>
      <c r="U699" s="12" t="s">
        <v>20</v>
      </c>
      <c r="AG699" s="1961" t="s">
        <v>707</v>
      </c>
      <c r="AH699" s="1961"/>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61" t="s">
        <v>579</v>
      </c>
      <c r="AF703" s="196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v>
      </c>
      <c r="BH703" s="461">
        <f>BG703/$BG$728</f>
        <v>3.007518796992481E-2</v>
      </c>
      <c r="BI703" s="462">
        <f t="shared" ref="BI703:BI727" si="45">IF(BH703=0," ",BH703*AM728)</f>
        <v>2.10620447833198E-2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61" t="s">
        <v>579</v>
      </c>
      <c r="AF704" s="196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v>
      </c>
      <c r="BH704" s="461">
        <f t="shared" ref="BH704:BH727" si="46">BG704/$BG$728</f>
        <v>7.5187969924812026E-3</v>
      </c>
      <c r="BI704" s="462">
        <f t="shared" si="45"/>
        <v>3.7593984962406013E-3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62">
        <v>44231</v>
      </c>
      <c r="AF705" s="2162"/>
      <c r="AG705" s="2162"/>
      <c r="AH705" s="2162"/>
      <c r="AI705" s="216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v>
      </c>
      <c r="BH705" s="461">
        <f t="shared" si="46"/>
        <v>7.5187969924812026E-3</v>
      </c>
      <c r="BI705" s="462">
        <f t="shared" si="45"/>
        <v>2.2562274230176378E-3</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20">
        <v>44314</v>
      </c>
      <c r="AF706" s="2220"/>
      <c r="AG706" s="2220"/>
      <c r="AH706" s="2220"/>
      <c r="AI706" s="222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52</v>
      </c>
      <c r="BH706" s="461">
        <f t="shared" si="46"/>
        <v>0.39097744360902253</v>
      </c>
      <c r="BI706" s="462">
        <f t="shared" si="45"/>
        <v>0.2737636774863989</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49</v>
      </c>
      <c r="BH707" s="461">
        <f t="shared" si="46"/>
        <v>0.36842105263157893</v>
      </c>
      <c r="BI707" s="462">
        <f t="shared" si="45"/>
        <v>0.22115247468264154</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62">
        <v>44440</v>
      </c>
      <c r="AF708" s="2162"/>
      <c r="AG708" s="2162"/>
      <c r="AH708" s="2162"/>
      <c r="AI708" s="216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13</v>
      </c>
      <c r="BH708" s="461">
        <f t="shared" si="46"/>
        <v>9.7744360902255634E-2</v>
      </c>
      <c r="BI708" s="462">
        <f t="shared" si="45"/>
        <v>4.8872180451127817E-2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16">
        <v>0.54359999999999997</v>
      </c>
      <c r="AF709" s="2216"/>
      <c r="AG709" s="2216"/>
      <c r="AH709" s="2216"/>
      <c r="AI709" s="221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13</v>
      </c>
      <c r="BH709" s="461">
        <f t="shared" si="46"/>
        <v>9.7744360902255634E-2</v>
      </c>
      <c r="BI709" s="462">
        <f t="shared" si="45"/>
        <v>2.9336552764023877E-2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72" t="str">
        <f>H334</f>
        <v>California Municipal Finance Authority</v>
      </c>
      <c r="X710" s="2072"/>
      <c r="Y710" s="2072"/>
      <c r="Z710" s="2072"/>
      <c r="AA710" s="2072"/>
      <c r="AB710" s="2072"/>
      <c r="AC710" s="2072"/>
      <c r="AD710" s="2072"/>
      <c r="AE710" s="2072"/>
      <c r="AF710" s="2072"/>
      <c r="AG710" s="2072"/>
      <c r="AH710" s="2072"/>
      <c r="AI710" s="2072"/>
      <c r="AJ710" s="2072"/>
      <c r="AK710" s="207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61" t="s">
        <v>707</v>
      </c>
      <c r="AF712" s="196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1955"/>
      <c r="X713" s="1955"/>
      <c r="Y713" s="1955"/>
      <c r="Z713" s="1955"/>
      <c r="AA713" s="1955"/>
      <c r="AB713" s="1955"/>
      <c r="AC713" s="1955"/>
      <c r="AD713" s="1955"/>
      <c r="AE713" s="1955"/>
      <c r="AF713" s="1955"/>
      <c r="AG713" s="1955"/>
      <c r="AH713" s="1955"/>
      <c r="AI713" s="1955"/>
      <c r="AJ713" s="1955"/>
      <c r="AK713" s="195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1955"/>
      <c r="K714" s="1955"/>
      <c r="L714" s="1955"/>
      <c r="M714" s="1955"/>
      <c r="N714" s="1955"/>
      <c r="O714" s="1955"/>
      <c r="P714" s="1955"/>
      <c r="Q714" s="1955"/>
      <c r="R714" s="1955"/>
      <c r="S714" s="1955"/>
      <c r="T714" s="1955"/>
      <c r="U714" s="1955"/>
      <c r="V714" s="1955"/>
      <c r="W714" s="1955"/>
      <c r="X714" s="195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22"/>
      <c r="K715" s="2022"/>
      <c r="L715" s="2022"/>
      <c r="M715" s="2022"/>
      <c r="N715" s="2022"/>
      <c r="O715" s="2022"/>
      <c r="P715" s="7" t="s">
        <v>212</v>
      </c>
      <c r="Q715" s="7"/>
      <c r="R715" s="2027"/>
      <c r="S715" s="2027"/>
      <c r="T715" s="202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468</v>
      </c>
      <c r="W716" s="1955" t="s">
        <v>318</v>
      </c>
      <c r="X716" s="1955"/>
      <c r="Y716" s="1955"/>
      <c r="Z716" s="1955"/>
      <c r="AA716" s="1955"/>
      <c r="AB716" s="1955"/>
      <c r="AC716" s="1955"/>
      <c r="AD716" s="1955"/>
      <c r="AE716" s="1955"/>
      <c r="AF716" s="1955"/>
      <c r="AG716" s="1955"/>
      <c r="AH716" s="1955"/>
      <c r="AI716" s="1955"/>
      <c r="AJ716" s="1955"/>
      <c r="AK716" s="195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1955" t="s">
        <v>345</v>
      </c>
      <c r="F717" s="1955"/>
      <c r="G717" s="1955"/>
      <c r="H717" s="1955"/>
      <c r="I717" s="1955"/>
      <c r="J717" s="1955"/>
      <c r="K717" s="1955"/>
      <c r="L717" s="1955"/>
      <c r="M717" s="1955"/>
      <c r="N717" s="1955"/>
      <c r="O717" s="1955"/>
      <c r="P717" s="1955"/>
      <c r="Q717" s="1955"/>
      <c r="R717" s="1955"/>
      <c r="S717" s="1955"/>
      <c r="T717" s="1955"/>
      <c r="U717" s="1955"/>
      <c r="V717" s="1955"/>
      <c r="W717" s="1955"/>
      <c r="X717" s="1955"/>
      <c r="Y717" s="1955"/>
      <c r="Z717" s="1955"/>
      <c r="AA717" s="1955"/>
      <c r="AB717" s="1955"/>
      <c r="AC717" s="1955"/>
      <c r="AD717" s="1955"/>
      <c r="AE717" s="1955"/>
      <c r="AF717" s="1955"/>
      <c r="AG717" s="1955"/>
      <c r="AH717" s="1955"/>
      <c r="AI717" s="1955"/>
      <c r="AJ717" s="1955"/>
      <c r="AK717" s="195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9" t="s">
        <v>409</v>
      </c>
      <c r="C724" s="2090"/>
      <c r="D724" s="2090"/>
      <c r="E724" s="2090"/>
      <c r="F724" s="2091"/>
      <c r="G724" s="2089" t="s">
        <v>293</v>
      </c>
      <c r="H724" s="2090"/>
      <c r="I724" s="2090"/>
      <c r="J724" s="2091"/>
      <c r="K724" s="2197" t="s">
        <v>2169</v>
      </c>
      <c r="L724" s="2198"/>
      <c r="M724" s="2198"/>
      <c r="N724" s="2199"/>
      <c r="O724" s="2089" t="s">
        <v>479</v>
      </c>
      <c r="P724" s="2090"/>
      <c r="Q724" s="2090"/>
      <c r="R724" s="2090"/>
      <c r="S724" s="2091"/>
      <c r="T724" s="2089" t="s">
        <v>294</v>
      </c>
      <c r="U724" s="2090"/>
      <c r="V724" s="2090"/>
      <c r="W724" s="2090"/>
      <c r="X724" s="2091"/>
      <c r="Y724" s="2089" t="s">
        <v>295</v>
      </c>
      <c r="Z724" s="2090"/>
      <c r="AA724" s="2090"/>
      <c r="AB724" s="2091"/>
      <c r="AC724" s="2089" t="s">
        <v>296</v>
      </c>
      <c r="AD724" s="2090"/>
      <c r="AE724" s="2090"/>
      <c r="AF724" s="2090"/>
      <c r="AG724" s="2091"/>
      <c r="AH724" s="2089" t="s">
        <v>410</v>
      </c>
      <c r="AI724" s="2090"/>
      <c r="AJ724" s="2090"/>
      <c r="AK724" s="2090"/>
      <c r="AL724" s="2091"/>
      <c r="AM724" s="2089" t="s">
        <v>683</v>
      </c>
      <c r="AN724" s="2090"/>
      <c r="AO724" s="2091"/>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092"/>
      <c r="C725" s="2093"/>
      <c r="D725" s="2093"/>
      <c r="E725" s="2093"/>
      <c r="F725" s="2094"/>
      <c r="G725" s="2092"/>
      <c r="H725" s="2093"/>
      <c r="I725" s="2093"/>
      <c r="J725" s="2094"/>
      <c r="K725" s="2200"/>
      <c r="L725" s="2201"/>
      <c r="M725" s="2201"/>
      <c r="N725" s="2202"/>
      <c r="O725" s="2092"/>
      <c r="P725" s="2093"/>
      <c r="Q725" s="2093"/>
      <c r="R725" s="2093"/>
      <c r="S725" s="2094"/>
      <c r="T725" s="2092"/>
      <c r="U725" s="2093"/>
      <c r="V725" s="2093"/>
      <c r="W725" s="2093"/>
      <c r="X725" s="2094"/>
      <c r="Y725" s="2092"/>
      <c r="Z725" s="2093"/>
      <c r="AA725" s="2093"/>
      <c r="AB725" s="2094"/>
      <c r="AC725" s="2092"/>
      <c r="AD725" s="2093"/>
      <c r="AE725" s="2093"/>
      <c r="AF725" s="2093"/>
      <c r="AG725" s="2094"/>
      <c r="AH725" s="2092"/>
      <c r="AI725" s="2093"/>
      <c r="AJ725" s="2093"/>
      <c r="AK725" s="2093"/>
      <c r="AL725" s="2094"/>
      <c r="AM725" s="2092"/>
      <c r="AN725" s="2093"/>
      <c r="AO725" s="2094"/>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092"/>
      <c r="C726" s="2093"/>
      <c r="D726" s="2093"/>
      <c r="E726" s="2093"/>
      <c r="F726" s="2094"/>
      <c r="G726" s="2092"/>
      <c r="H726" s="2093"/>
      <c r="I726" s="2093"/>
      <c r="J726" s="2094"/>
      <c r="K726" s="2200"/>
      <c r="L726" s="2201"/>
      <c r="M726" s="2201"/>
      <c r="N726" s="2202"/>
      <c r="O726" s="2092"/>
      <c r="P726" s="2093"/>
      <c r="Q726" s="2093"/>
      <c r="R726" s="2093"/>
      <c r="S726" s="2094"/>
      <c r="T726" s="2092"/>
      <c r="U726" s="2093"/>
      <c r="V726" s="2093"/>
      <c r="W726" s="2093"/>
      <c r="X726" s="2094"/>
      <c r="Y726" s="2092"/>
      <c r="Z726" s="2093"/>
      <c r="AA726" s="2093"/>
      <c r="AB726" s="2094"/>
      <c r="AC726" s="2092"/>
      <c r="AD726" s="2093"/>
      <c r="AE726" s="2093"/>
      <c r="AF726" s="2093"/>
      <c r="AG726" s="2094"/>
      <c r="AH726" s="2092"/>
      <c r="AI726" s="2093"/>
      <c r="AJ726" s="2093"/>
      <c r="AK726" s="2093"/>
      <c r="AL726" s="2094"/>
      <c r="AM726" s="2092"/>
      <c r="AN726" s="2093"/>
      <c r="AO726" s="2094"/>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095"/>
      <c r="C727" s="2096"/>
      <c r="D727" s="2096"/>
      <c r="E727" s="2096"/>
      <c r="F727" s="2097"/>
      <c r="G727" s="2095"/>
      <c r="H727" s="2096"/>
      <c r="I727" s="2096"/>
      <c r="J727" s="2097"/>
      <c r="K727" s="2200"/>
      <c r="L727" s="2201"/>
      <c r="M727" s="2201"/>
      <c r="N727" s="2202"/>
      <c r="O727" s="2095"/>
      <c r="P727" s="2096"/>
      <c r="Q727" s="2096"/>
      <c r="R727" s="2096"/>
      <c r="S727" s="2097"/>
      <c r="T727" s="2095"/>
      <c r="U727" s="2096"/>
      <c r="V727" s="2096"/>
      <c r="W727" s="2096"/>
      <c r="X727" s="2097"/>
      <c r="Y727" s="2095"/>
      <c r="Z727" s="2096"/>
      <c r="AA727" s="2096"/>
      <c r="AB727" s="2097"/>
      <c r="AC727" s="2095"/>
      <c r="AD727" s="2096"/>
      <c r="AE727" s="2096"/>
      <c r="AF727" s="2096"/>
      <c r="AG727" s="2097"/>
      <c r="AH727" s="2095"/>
      <c r="AI727" s="2096"/>
      <c r="AJ727" s="2096"/>
      <c r="AK727" s="2096"/>
      <c r="AL727" s="2097"/>
      <c r="AM727" s="2095"/>
      <c r="AN727" s="2096"/>
      <c r="AO727" s="2097"/>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1987" t="s">
        <v>168</v>
      </c>
      <c r="C728" s="1988"/>
      <c r="D728" s="1988"/>
      <c r="E728" s="1988"/>
      <c r="F728" s="2057"/>
      <c r="G728" s="2217">
        <v>4</v>
      </c>
      <c r="H728" s="2218"/>
      <c r="I728" s="2218"/>
      <c r="J728" s="2219"/>
      <c r="K728" s="2086">
        <v>850</v>
      </c>
      <c r="L728" s="2087"/>
      <c r="M728" s="2087"/>
      <c r="N728" s="2088"/>
      <c r="O728" s="2049">
        <v>1676</v>
      </c>
      <c r="P728" s="2050"/>
      <c r="Q728" s="2050"/>
      <c r="R728" s="2050"/>
      <c r="S728" s="2051"/>
      <c r="T728" s="2206">
        <f t="shared" ref="T728:T752" si="47">G728*O728</f>
        <v>6704</v>
      </c>
      <c r="U728" s="2207"/>
      <c r="V728" s="2207"/>
      <c r="W728" s="2207"/>
      <c r="X728" s="2208"/>
      <c r="Y728" s="2049">
        <v>114</v>
      </c>
      <c r="Z728" s="2050"/>
      <c r="AA728" s="2050"/>
      <c r="AB728" s="2051"/>
      <c r="AC728" s="2206">
        <f t="shared" ref="AC728:AC752" si="48">O728+Y728</f>
        <v>1790</v>
      </c>
      <c r="AD728" s="2207"/>
      <c r="AE728" s="2207"/>
      <c r="AF728" s="2207"/>
      <c r="AG728" s="2208"/>
      <c r="AH728" s="2194">
        <v>0.7</v>
      </c>
      <c r="AI728" s="2195"/>
      <c r="AJ728" s="2195"/>
      <c r="AK728" s="2195"/>
      <c r="AL728" s="2196"/>
      <c r="AM728" s="2266">
        <f t="shared" ref="AM728:AM752" si="49">IF($AH728&gt;0,($AC728/$BA670), " ")</f>
        <v>0.70031298904538342</v>
      </c>
      <c r="AN728" s="2267"/>
      <c r="AO728" s="2268"/>
      <c r="AP728" s="239"/>
      <c r="AQ728" s="239"/>
      <c r="AR728" s="239"/>
      <c r="AS728" s="239"/>
      <c r="AT728" s="239"/>
      <c r="AU728" s="239"/>
      <c r="AV728" s="239"/>
      <c r="AW728" s="239"/>
      <c r="AX728" s="239"/>
      <c r="AY728" s="239"/>
      <c r="AZ728" s="58"/>
      <c r="BA728" s="58"/>
      <c r="BB728" s="58"/>
      <c r="BC728" s="58"/>
      <c r="BD728" s="58"/>
      <c r="BE728" s="58"/>
      <c r="BF728" s="58"/>
      <c r="BG728" s="1422">
        <f>SUM(BG703:BG727)</f>
        <v>133</v>
      </c>
      <c r="BH728" s="464">
        <f>SUM(BH703:BH727)</f>
        <v>1</v>
      </c>
      <c r="BI728" s="464">
        <f>SUM(BI703:BI727)</f>
        <v>0.60020255608677031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1987" t="s">
        <v>168</v>
      </c>
      <c r="C729" s="1988"/>
      <c r="D729" s="1988"/>
      <c r="E729" s="1988"/>
      <c r="F729" s="2057"/>
      <c r="G729" s="2217">
        <v>1</v>
      </c>
      <c r="H729" s="2218"/>
      <c r="I729" s="2218"/>
      <c r="J729" s="2219"/>
      <c r="K729" s="2086">
        <v>850</v>
      </c>
      <c r="L729" s="2087"/>
      <c r="M729" s="2087"/>
      <c r="N729" s="2088"/>
      <c r="O729" s="2049">
        <v>1164</v>
      </c>
      <c r="P729" s="2050"/>
      <c r="Q729" s="2050"/>
      <c r="R729" s="2050"/>
      <c r="S729" s="2051"/>
      <c r="T729" s="2206">
        <f t="shared" si="47"/>
        <v>1164</v>
      </c>
      <c r="U729" s="2207"/>
      <c r="V729" s="2207"/>
      <c r="W729" s="2207"/>
      <c r="X729" s="2208"/>
      <c r="Y729" s="2049">
        <v>114</v>
      </c>
      <c r="Z729" s="2050"/>
      <c r="AA729" s="2050"/>
      <c r="AB729" s="2051"/>
      <c r="AC729" s="2206">
        <f t="shared" si="48"/>
        <v>1278</v>
      </c>
      <c r="AD729" s="2207"/>
      <c r="AE729" s="2207"/>
      <c r="AF729" s="2207"/>
      <c r="AG729" s="2208"/>
      <c r="AH729" s="2194">
        <v>0.5</v>
      </c>
      <c r="AI729" s="2195"/>
      <c r="AJ729" s="2195"/>
      <c r="AK729" s="2195"/>
      <c r="AL729" s="2196"/>
      <c r="AM729" s="2266">
        <f t="shared" si="49"/>
        <v>0.5</v>
      </c>
      <c r="AN729" s="2267"/>
      <c r="AO729" s="226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1987" t="s">
        <v>168</v>
      </c>
      <c r="C730" s="1988"/>
      <c r="D730" s="1988"/>
      <c r="E730" s="1988"/>
      <c r="F730" s="2057"/>
      <c r="G730" s="2217">
        <v>1</v>
      </c>
      <c r="H730" s="2218"/>
      <c r="I730" s="2218"/>
      <c r="J730" s="2219"/>
      <c r="K730" s="2086">
        <v>850</v>
      </c>
      <c r="L730" s="2087"/>
      <c r="M730" s="2087"/>
      <c r="N730" s="2088"/>
      <c r="O730" s="2049">
        <v>653</v>
      </c>
      <c r="P730" s="2050"/>
      <c r="Q730" s="2050"/>
      <c r="R730" s="2050"/>
      <c r="S730" s="2051"/>
      <c r="T730" s="2206">
        <f t="shared" si="47"/>
        <v>653</v>
      </c>
      <c r="U730" s="2207"/>
      <c r="V730" s="2207"/>
      <c r="W730" s="2207"/>
      <c r="X730" s="2208"/>
      <c r="Y730" s="2049">
        <v>114</v>
      </c>
      <c r="Z730" s="2050"/>
      <c r="AA730" s="2050"/>
      <c r="AB730" s="2051"/>
      <c r="AC730" s="2206">
        <f t="shared" si="48"/>
        <v>767</v>
      </c>
      <c r="AD730" s="2207"/>
      <c r="AE730" s="2207"/>
      <c r="AF730" s="2207"/>
      <c r="AG730" s="2208"/>
      <c r="AH730" s="2194">
        <v>0.3</v>
      </c>
      <c r="AI730" s="2195"/>
      <c r="AJ730" s="2195"/>
      <c r="AK730" s="2195"/>
      <c r="AL730" s="2196"/>
      <c r="AM730" s="2266">
        <f t="shared" si="49"/>
        <v>0.30007824726134585</v>
      </c>
      <c r="AN730" s="2267"/>
      <c r="AO730" s="226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1987" t="s">
        <v>169</v>
      </c>
      <c r="C731" s="1988"/>
      <c r="D731" s="1988"/>
      <c r="E731" s="1988"/>
      <c r="F731" s="2057"/>
      <c r="G731" s="2217">
        <v>52</v>
      </c>
      <c r="H731" s="2218"/>
      <c r="I731" s="2218"/>
      <c r="J731" s="2219"/>
      <c r="K731" s="2086">
        <v>1050</v>
      </c>
      <c r="L731" s="2087"/>
      <c r="M731" s="2087"/>
      <c r="N731" s="2088"/>
      <c r="O731" s="2049">
        <v>1929</v>
      </c>
      <c r="P731" s="2050"/>
      <c r="Q731" s="2050"/>
      <c r="R731" s="2050"/>
      <c r="S731" s="2051"/>
      <c r="T731" s="2206">
        <f t="shared" si="47"/>
        <v>100308</v>
      </c>
      <c r="U731" s="2207"/>
      <c r="V731" s="2207"/>
      <c r="W731" s="2207"/>
      <c r="X731" s="2208"/>
      <c r="Y731" s="2049">
        <v>138</v>
      </c>
      <c r="Z731" s="2050"/>
      <c r="AA731" s="2050"/>
      <c r="AB731" s="2051"/>
      <c r="AC731" s="2206">
        <f t="shared" si="48"/>
        <v>2067</v>
      </c>
      <c r="AD731" s="2207"/>
      <c r="AE731" s="2207"/>
      <c r="AF731" s="2207"/>
      <c r="AG731" s="2208"/>
      <c r="AH731" s="2194">
        <v>0.7</v>
      </c>
      <c r="AI731" s="2195"/>
      <c r="AJ731" s="2195"/>
      <c r="AK731" s="2195"/>
      <c r="AL731" s="2196"/>
      <c r="AM731" s="2266">
        <f t="shared" si="49"/>
        <v>0.70020325203252032</v>
      </c>
      <c r="AN731" s="2267"/>
      <c r="AO731" s="226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1987" t="s">
        <v>169</v>
      </c>
      <c r="C732" s="1988"/>
      <c r="D732" s="1988"/>
      <c r="E732" s="1988"/>
      <c r="F732" s="2057"/>
      <c r="G732" s="2217">
        <v>49</v>
      </c>
      <c r="H732" s="2218"/>
      <c r="I732" s="2218"/>
      <c r="J732" s="2219"/>
      <c r="K732" s="2086">
        <v>1050</v>
      </c>
      <c r="L732" s="2087"/>
      <c r="M732" s="2087"/>
      <c r="N732" s="2088"/>
      <c r="O732" s="2049">
        <v>1634</v>
      </c>
      <c r="P732" s="2050"/>
      <c r="Q732" s="2050"/>
      <c r="R732" s="2050"/>
      <c r="S732" s="2051"/>
      <c r="T732" s="2206">
        <f t="shared" si="47"/>
        <v>80066</v>
      </c>
      <c r="U732" s="2207"/>
      <c r="V732" s="2207"/>
      <c r="W732" s="2207"/>
      <c r="X732" s="2208"/>
      <c r="Y732" s="2049">
        <v>138</v>
      </c>
      <c r="Z732" s="2050"/>
      <c r="AA732" s="2050"/>
      <c r="AB732" s="2051"/>
      <c r="AC732" s="2206">
        <f t="shared" si="48"/>
        <v>1772</v>
      </c>
      <c r="AD732" s="2207"/>
      <c r="AE732" s="2207"/>
      <c r="AF732" s="2207"/>
      <c r="AG732" s="2208"/>
      <c r="AH732" s="2194">
        <v>0.6</v>
      </c>
      <c r="AI732" s="2195"/>
      <c r="AJ732" s="2195"/>
      <c r="AK732" s="2195"/>
      <c r="AL732" s="2196"/>
      <c r="AM732" s="2266">
        <f t="shared" si="49"/>
        <v>0.60027100271002709</v>
      </c>
      <c r="AN732" s="2267"/>
      <c r="AO732" s="226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1987" t="s">
        <v>169</v>
      </c>
      <c r="C733" s="1988"/>
      <c r="D733" s="1988"/>
      <c r="E733" s="1988"/>
      <c r="F733" s="2057"/>
      <c r="G733" s="2217">
        <v>13</v>
      </c>
      <c r="H733" s="2218"/>
      <c r="I733" s="2218"/>
      <c r="J733" s="2219"/>
      <c r="K733" s="2086">
        <v>1050</v>
      </c>
      <c r="L733" s="2087"/>
      <c r="M733" s="2087"/>
      <c r="N733" s="2088"/>
      <c r="O733" s="2049">
        <v>1338</v>
      </c>
      <c r="P733" s="2050"/>
      <c r="Q733" s="2050"/>
      <c r="R733" s="2050"/>
      <c r="S733" s="2051"/>
      <c r="T733" s="2206">
        <f t="shared" si="47"/>
        <v>17394</v>
      </c>
      <c r="U733" s="2207"/>
      <c r="V733" s="2207"/>
      <c r="W733" s="2207"/>
      <c r="X733" s="2208"/>
      <c r="Y733" s="2049">
        <v>138</v>
      </c>
      <c r="Z733" s="2050"/>
      <c r="AA733" s="2050"/>
      <c r="AB733" s="2051"/>
      <c r="AC733" s="2206">
        <f t="shared" si="48"/>
        <v>1476</v>
      </c>
      <c r="AD733" s="2207"/>
      <c r="AE733" s="2207"/>
      <c r="AF733" s="2207"/>
      <c r="AG733" s="2208"/>
      <c r="AH733" s="2194">
        <v>0.5</v>
      </c>
      <c r="AI733" s="2195"/>
      <c r="AJ733" s="2195"/>
      <c r="AK733" s="2195"/>
      <c r="AL733" s="2196"/>
      <c r="AM733" s="2266">
        <f t="shared" si="49"/>
        <v>0.5</v>
      </c>
      <c r="AN733" s="2267"/>
      <c r="AO733" s="226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1987" t="s">
        <v>169</v>
      </c>
      <c r="C734" s="1988"/>
      <c r="D734" s="1988"/>
      <c r="E734" s="1988"/>
      <c r="F734" s="2057"/>
      <c r="G734" s="2217">
        <v>13</v>
      </c>
      <c r="H734" s="2218"/>
      <c r="I734" s="2218"/>
      <c r="J734" s="2219"/>
      <c r="K734" s="2086">
        <v>1050</v>
      </c>
      <c r="L734" s="2087"/>
      <c r="M734" s="2087"/>
      <c r="N734" s="2088"/>
      <c r="O734" s="2049">
        <v>748</v>
      </c>
      <c r="P734" s="2050"/>
      <c r="Q734" s="2050"/>
      <c r="R734" s="2050"/>
      <c r="S734" s="2051"/>
      <c r="T734" s="2206">
        <f t="shared" si="47"/>
        <v>9724</v>
      </c>
      <c r="U734" s="2207"/>
      <c r="V734" s="2207"/>
      <c r="W734" s="2207"/>
      <c r="X734" s="2208"/>
      <c r="Y734" s="2049">
        <v>138</v>
      </c>
      <c r="Z734" s="2050"/>
      <c r="AA734" s="2050"/>
      <c r="AB734" s="2051"/>
      <c r="AC734" s="2206">
        <f t="shared" si="48"/>
        <v>886</v>
      </c>
      <c r="AD734" s="2207"/>
      <c r="AE734" s="2207"/>
      <c r="AF734" s="2207"/>
      <c r="AG734" s="2208"/>
      <c r="AH734" s="2194">
        <v>0.3</v>
      </c>
      <c r="AI734" s="2195"/>
      <c r="AJ734" s="2195"/>
      <c r="AK734" s="2195"/>
      <c r="AL734" s="2196"/>
      <c r="AM734" s="2266">
        <f t="shared" si="49"/>
        <v>0.30013550135501355</v>
      </c>
      <c r="AN734" s="2267"/>
      <c r="AO734" s="226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1987"/>
      <c r="C735" s="1988"/>
      <c r="D735" s="1988"/>
      <c r="E735" s="1988"/>
      <c r="F735" s="2057"/>
      <c r="G735" s="2217"/>
      <c r="H735" s="2218"/>
      <c r="I735" s="2218"/>
      <c r="J735" s="2219"/>
      <c r="K735" s="2086"/>
      <c r="L735" s="2087"/>
      <c r="M735" s="2087"/>
      <c r="N735" s="2088"/>
      <c r="O735" s="2049"/>
      <c r="P735" s="2050"/>
      <c r="Q735" s="2050"/>
      <c r="R735" s="2050"/>
      <c r="S735" s="2051"/>
      <c r="T735" s="2206">
        <f t="shared" si="47"/>
        <v>0</v>
      </c>
      <c r="U735" s="2207"/>
      <c r="V735" s="2207"/>
      <c r="W735" s="2207"/>
      <c r="X735" s="2208"/>
      <c r="Y735" s="2049"/>
      <c r="Z735" s="2050"/>
      <c r="AA735" s="2050"/>
      <c r="AB735" s="2051"/>
      <c r="AC735" s="2206">
        <f t="shared" si="48"/>
        <v>0</v>
      </c>
      <c r="AD735" s="2207"/>
      <c r="AE735" s="2207"/>
      <c r="AF735" s="2207"/>
      <c r="AG735" s="2208"/>
      <c r="AH735" s="2194"/>
      <c r="AI735" s="2195"/>
      <c r="AJ735" s="2195"/>
      <c r="AK735" s="2195"/>
      <c r="AL735" s="2196"/>
      <c r="AM735" s="2266" t="str">
        <f t="shared" si="49"/>
        <v xml:space="preserve"> </v>
      </c>
      <c r="AN735" s="2267"/>
      <c r="AO735" s="226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1987"/>
      <c r="C736" s="1988"/>
      <c r="D736" s="1988"/>
      <c r="E736" s="1988"/>
      <c r="F736" s="2057"/>
      <c r="G736" s="2217"/>
      <c r="H736" s="2218"/>
      <c r="I736" s="2218"/>
      <c r="J736" s="2219"/>
      <c r="K736" s="2086"/>
      <c r="L736" s="2087"/>
      <c r="M736" s="2087"/>
      <c r="N736" s="2088"/>
      <c r="O736" s="2049"/>
      <c r="P736" s="2050"/>
      <c r="Q736" s="2050"/>
      <c r="R736" s="2050"/>
      <c r="S736" s="2051"/>
      <c r="T736" s="2206">
        <f t="shared" si="47"/>
        <v>0</v>
      </c>
      <c r="U736" s="2207"/>
      <c r="V736" s="2207"/>
      <c r="W736" s="2207"/>
      <c r="X736" s="2208"/>
      <c r="Y736" s="2049"/>
      <c r="Z736" s="2050"/>
      <c r="AA736" s="2050"/>
      <c r="AB736" s="2051"/>
      <c r="AC736" s="2206">
        <f t="shared" si="48"/>
        <v>0</v>
      </c>
      <c r="AD736" s="2207"/>
      <c r="AE736" s="2207"/>
      <c r="AF736" s="2207"/>
      <c r="AG736" s="2208"/>
      <c r="AH736" s="2194"/>
      <c r="AI736" s="2195"/>
      <c r="AJ736" s="2195"/>
      <c r="AK736" s="2195"/>
      <c r="AL736" s="2196"/>
      <c r="AM736" s="2266" t="str">
        <f t="shared" si="49"/>
        <v xml:space="preserve"> </v>
      </c>
      <c r="AN736" s="2267"/>
      <c r="AO736" s="226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1987"/>
      <c r="C737" s="1988"/>
      <c r="D737" s="1988"/>
      <c r="E737" s="1988"/>
      <c r="F737" s="2057"/>
      <c r="G737" s="2217"/>
      <c r="H737" s="2218"/>
      <c r="I737" s="2218"/>
      <c r="J737" s="2219"/>
      <c r="K737" s="2086"/>
      <c r="L737" s="2087"/>
      <c r="M737" s="2087"/>
      <c r="N737" s="2088"/>
      <c r="O737" s="2049"/>
      <c r="P737" s="2050"/>
      <c r="Q737" s="2050"/>
      <c r="R737" s="2050"/>
      <c r="S737" s="2051"/>
      <c r="T737" s="2206">
        <f t="shared" si="47"/>
        <v>0</v>
      </c>
      <c r="U737" s="2207"/>
      <c r="V737" s="2207"/>
      <c r="W737" s="2207"/>
      <c r="X737" s="2208"/>
      <c r="Y737" s="2049"/>
      <c r="Z737" s="2050"/>
      <c r="AA737" s="2050"/>
      <c r="AB737" s="2051"/>
      <c r="AC737" s="2206">
        <f t="shared" si="48"/>
        <v>0</v>
      </c>
      <c r="AD737" s="2207"/>
      <c r="AE737" s="2207"/>
      <c r="AF737" s="2207"/>
      <c r="AG737" s="2208"/>
      <c r="AH737" s="2194"/>
      <c r="AI737" s="2195"/>
      <c r="AJ737" s="2195"/>
      <c r="AK737" s="2195"/>
      <c r="AL737" s="2196"/>
      <c r="AM737" s="2266" t="str">
        <f t="shared" si="49"/>
        <v xml:space="preserve"> </v>
      </c>
      <c r="AN737" s="2267"/>
      <c r="AO737" s="226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1987"/>
      <c r="C738" s="1988"/>
      <c r="D738" s="1988"/>
      <c r="E738" s="1988"/>
      <c r="F738" s="2057"/>
      <c r="G738" s="2217"/>
      <c r="H738" s="2218"/>
      <c r="I738" s="2218"/>
      <c r="J738" s="2219"/>
      <c r="K738" s="2086"/>
      <c r="L738" s="2087"/>
      <c r="M738" s="2087"/>
      <c r="N738" s="2088"/>
      <c r="O738" s="2049"/>
      <c r="P738" s="2050"/>
      <c r="Q738" s="2050"/>
      <c r="R738" s="2050"/>
      <c r="S738" s="2051"/>
      <c r="T738" s="2206">
        <f t="shared" si="47"/>
        <v>0</v>
      </c>
      <c r="U738" s="2207"/>
      <c r="V738" s="2207"/>
      <c r="W738" s="2207"/>
      <c r="X738" s="2208"/>
      <c r="Y738" s="2049"/>
      <c r="Z738" s="2050"/>
      <c r="AA738" s="2050"/>
      <c r="AB738" s="2051"/>
      <c r="AC738" s="2206">
        <f t="shared" si="48"/>
        <v>0</v>
      </c>
      <c r="AD738" s="2207"/>
      <c r="AE738" s="2207"/>
      <c r="AF738" s="2207"/>
      <c r="AG738" s="2208"/>
      <c r="AH738" s="2194"/>
      <c r="AI738" s="2195"/>
      <c r="AJ738" s="2195"/>
      <c r="AK738" s="2195"/>
      <c r="AL738" s="2196"/>
      <c r="AM738" s="2266" t="str">
        <f t="shared" si="49"/>
        <v xml:space="preserve"> </v>
      </c>
      <c r="AN738" s="2267"/>
      <c r="AO738" s="226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1987"/>
      <c r="C739" s="1988"/>
      <c r="D739" s="1988"/>
      <c r="E739" s="1988"/>
      <c r="F739" s="2057"/>
      <c r="G739" s="2217"/>
      <c r="H739" s="2218"/>
      <c r="I739" s="2218"/>
      <c r="J739" s="2219"/>
      <c r="K739" s="2086"/>
      <c r="L739" s="2087"/>
      <c r="M739" s="2087"/>
      <c r="N739" s="2088"/>
      <c r="O739" s="2049"/>
      <c r="P739" s="2050"/>
      <c r="Q739" s="2050"/>
      <c r="R739" s="2050"/>
      <c r="S739" s="2051"/>
      <c r="T739" s="2206">
        <f t="shared" si="47"/>
        <v>0</v>
      </c>
      <c r="U739" s="2207"/>
      <c r="V739" s="2207"/>
      <c r="W739" s="2207"/>
      <c r="X739" s="2208"/>
      <c r="Y739" s="2049">
        <v>0</v>
      </c>
      <c r="Z739" s="2050"/>
      <c r="AA739" s="2050"/>
      <c r="AB739" s="2051"/>
      <c r="AC739" s="2206">
        <f t="shared" si="48"/>
        <v>0</v>
      </c>
      <c r="AD739" s="2207"/>
      <c r="AE739" s="2207"/>
      <c r="AF739" s="2207"/>
      <c r="AG739" s="2208"/>
      <c r="AH739" s="2194">
        <v>0</v>
      </c>
      <c r="AI739" s="2195"/>
      <c r="AJ739" s="2195"/>
      <c r="AK739" s="2195"/>
      <c r="AL739" s="2196"/>
      <c r="AM739" s="2266" t="str">
        <f t="shared" si="49"/>
        <v xml:space="preserve"> </v>
      </c>
      <c r="AN739" s="2267"/>
      <c r="AO739" s="226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1987"/>
      <c r="C740" s="1988"/>
      <c r="D740" s="1988"/>
      <c r="E740" s="1988"/>
      <c r="F740" s="2057"/>
      <c r="G740" s="2217"/>
      <c r="H740" s="2218"/>
      <c r="I740" s="2218"/>
      <c r="J740" s="2219"/>
      <c r="K740" s="2086"/>
      <c r="L740" s="2087"/>
      <c r="M740" s="2087"/>
      <c r="N740" s="2088"/>
      <c r="O740" s="2049"/>
      <c r="P740" s="2050"/>
      <c r="Q740" s="2050"/>
      <c r="R740" s="2050"/>
      <c r="S740" s="2051"/>
      <c r="T740" s="2206">
        <f t="shared" si="47"/>
        <v>0</v>
      </c>
      <c r="U740" s="2207"/>
      <c r="V740" s="2207"/>
      <c r="W740" s="2207"/>
      <c r="X740" s="2208"/>
      <c r="Y740" s="2049">
        <v>0</v>
      </c>
      <c r="Z740" s="2050"/>
      <c r="AA740" s="2050"/>
      <c r="AB740" s="2051"/>
      <c r="AC740" s="2206">
        <f t="shared" si="48"/>
        <v>0</v>
      </c>
      <c r="AD740" s="2207"/>
      <c r="AE740" s="2207"/>
      <c r="AF740" s="2207"/>
      <c r="AG740" s="2208"/>
      <c r="AH740" s="2194">
        <v>0</v>
      </c>
      <c r="AI740" s="2195"/>
      <c r="AJ740" s="2195"/>
      <c r="AK740" s="2195"/>
      <c r="AL740" s="2196"/>
      <c r="AM740" s="2266" t="str">
        <f t="shared" si="49"/>
        <v xml:space="preserve"> </v>
      </c>
      <c r="AN740" s="2267"/>
      <c r="AO740" s="226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1987"/>
      <c r="C741" s="1988"/>
      <c r="D741" s="1988"/>
      <c r="E741" s="1988"/>
      <c r="F741" s="2057"/>
      <c r="G741" s="2217"/>
      <c r="H741" s="2218"/>
      <c r="I741" s="2218"/>
      <c r="J741" s="2219"/>
      <c r="K741" s="2086"/>
      <c r="L741" s="2087"/>
      <c r="M741" s="2087"/>
      <c r="N741" s="2088"/>
      <c r="O741" s="2049"/>
      <c r="P741" s="2050"/>
      <c r="Q741" s="2050"/>
      <c r="R741" s="2050"/>
      <c r="S741" s="2051"/>
      <c r="T741" s="2206">
        <f t="shared" si="47"/>
        <v>0</v>
      </c>
      <c r="U741" s="2207"/>
      <c r="V741" s="2207"/>
      <c r="W741" s="2207"/>
      <c r="X741" s="2208"/>
      <c r="Y741" s="2049">
        <v>0</v>
      </c>
      <c r="Z741" s="2050"/>
      <c r="AA741" s="2050"/>
      <c r="AB741" s="2051"/>
      <c r="AC741" s="2206">
        <f t="shared" si="48"/>
        <v>0</v>
      </c>
      <c r="AD741" s="2207"/>
      <c r="AE741" s="2207"/>
      <c r="AF741" s="2207"/>
      <c r="AG741" s="2208"/>
      <c r="AH741" s="2194">
        <v>0</v>
      </c>
      <c r="AI741" s="2195"/>
      <c r="AJ741" s="2195"/>
      <c r="AK741" s="2195"/>
      <c r="AL741" s="2196"/>
      <c r="AM741" s="2266" t="str">
        <f t="shared" si="49"/>
        <v xml:space="preserve"> </v>
      </c>
      <c r="AN741" s="2267"/>
      <c r="AO741" s="226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1987"/>
      <c r="C742" s="1988"/>
      <c r="D742" s="1988"/>
      <c r="E742" s="1988"/>
      <c r="F742" s="2057"/>
      <c r="G742" s="2217"/>
      <c r="H742" s="2218"/>
      <c r="I742" s="2218"/>
      <c r="J742" s="2219"/>
      <c r="K742" s="2086"/>
      <c r="L742" s="2087"/>
      <c r="M742" s="2087"/>
      <c r="N742" s="2088"/>
      <c r="O742" s="2049"/>
      <c r="P742" s="2050"/>
      <c r="Q742" s="2050"/>
      <c r="R742" s="2050"/>
      <c r="S742" s="2051"/>
      <c r="T742" s="2206">
        <f t="shared" si="47"/>
        <v>0</v>
      </c>
      <c r="U742" s="2207"/>
      <c r="V742" s="2207"/>
      <c r="W742" s="2207"/>
      <c r="X742" s="2208"/>
      <c r="Y742" s="2049">
        <v>0</v>
      </c>
      <c r="Z742" s="2050"/>
      <c r="AA742" s="2050"/>
      <c r="AB742" s="2051"/>
      <c r="AC742" s="2206">
        <f t="shared" si="48"/>
        <v>0</v>
      </c>
      <c r="AD742" s="2207"/>
      <c r="AE742" s="2207"/>
      <c r="AF742" s="2207"/>
      <c r="AG742" s="2208"/>
      <c r="AH742" s="2194">
        <v>0</v>
      </c>
      <c r="AI742" s="2195"/>
      <c r="AJ742" s="2195"/>
      <c r="AK742" s="2195"/>
      <c r="AL742" s="2196"/>
      <c r="AM742" s="2266" t="str">
        <f t="shared" si="49"/>
        <v xml:space="preserve"> </v>
      </c>
      <c r="AN742" s="2267"/>
      <c r="AO742" s="226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1987"/>
      <c r="C743" s="1988"/>
      <c r="D743" s="1988"/>
      <c r="E743" s="1988"/>
      <c r="F743" s="2057"/>
      <c r="G743" s="2217"/>
      <c r="H743" s="2218"/>
      <c r="I743" s="2218"/>
      <c r="J743" s="2219"/>
      <c r="K743" s="2086"/>
      <c r="L743" s="2087"/>
      <c r="M743" s="2087"/>
      <c r="N743" s="2088"/>
      <c r="O743" s="2049"/>
      <c r="P743" s="2050"/>
      <c r="Q743" s="2050"/>
      <c r="R743" s="2050"/>
      <c r="S743" s="2051"/>
      <c r="T743" s="2206">
        <f t="shared" si="47"/>
        <v>0</v>
      </c>
      <c r="U743" s="2207"/>
      <c r="V743" s="2207"/>
      <c r="W743" s="2207"/>
      <c r="X743" s="2208"/>
      <c r="Y743" s="2049">
        <v>0</v>
      </c>
      <c r="Z743" s="2050"/>
      <c r="AA743" s="2050"/>
      <c r="AB743" s="2051"/>
      <c r="AC743" s="2206">
        <f t="shared" si="48"/>
        <v>0</v>
      </c>
      <c r="AD743" s="2207"/>
      <c r="AE743" s="2207"/>
      <c r="AF743" s="2207"/>
      <c r="AG743" s="2208"/>
      <c r="AH743" s="2194">
        <v>0</v>
      </c>
      <c r="AI743" s="2195"/>
      <c r="AJ743" s="2195"/>
      <c r="AK743" s="2195"/>
      <c r="AL743" s="2196"/>
      <c r="AM743" s="2266" t="str">
        <f t="shared" si="49"/>
        <v xml:space="preserve"> </v>
      </c>
      <c r="AN743" s="2267"/>
      <c r="AO743" s="226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1987"/>
      <c r="C744" s="1988"/>
      <c r="D744" s="1988"/>
      <c r="E744" s="1988"/>
      <c r="F744" s="2057"/>
      <c r="G744" s="2217"/>
      <c r="H744" s="2218"/>
      <c r="I744" s="2218"/>
      <c r="J744" s="2219"/>
      <c r="K744" s="2086"/>
      <c r="L744" s="2087"/>
      <c r="M744" s="2087"/>
      <c r="N744" s="2088"/>
      <c r="O744" s="2049"/>
      <c r="P744" s="2050"/>
      <c r="Q744" s="2050"/>
      <c r="R744" s="2050"/>
      <c r="S744" s="2051"/>
      <c r="T744" s="2206">
        <f t="shared" si="47"/>
        <v>0</v>
      </c>
      <c r="U744" s="2207"/>
      <c r="V744" s="2207"/>
      <c r="W744" s="2207"/>
      <c r="X744" s="2208"/>
      <c r="Y744" s="2049">
        <v>0</v>
      </c>
      <c r="Z744" s="2050"/>
      <c r="AA744" s="2050"/>
      <c r="AB744" s="2051"/>
      <c r="AC744" s="2206">
        <f t="shared" si="48"/>
        <v>0</v>
      </c>
      <c r="AD744" s="2207"/>
      <c r="AE744" s="2207"/>
      <c r="AF744" s="2207"/>
      <c r="AG744" s="2208"/>
      <c r="AH744" s="2194">
        <v>0</v>
      </c>
      <c r="AI744" s="2195"/>
      <c r="AJ744" s="2195"/>
      <c r="AK744" s="2195"/>
      <c r="AL744" s="2196"/>
      <c r="AM744" s="2266" t="str">
        <f t="shared" si="49"/>
        <v xml:space="preserve"> </v>
      </c>
      <c r="AN744" s="2267"/>
      <c r="AO744" s="226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1987"/>
      <c r="C745" s="1988"/>
      <c r="D745" s="1988"/>
      <c r="E745" s="1988"/>
      <c r="F745" s="2057"/>
      <c r="G745" s="2217"/>
      <c r="H745" s="2218"/>
      <c r="I745" s="2218"/>
      <c r="J745" s="2219"/>
      <c r="K745" s="2086"/>
      <c r="L745" s="2087"/>
      <c r="M745" s="2087"/>
      <c r="N745" s="2088"/>
      <c r="O745" s="2049"/>
      <c r="P745" s="2050"/>
      <c r="Q745" s="2050"/>
      <c r="R745" s="2050"/>
      <c r="S745" s="2051"/>
      <c r="T745" s="2206">
        <f t="shared" si="47"/>
        <v>0</v>
      </c>
      <c r="U745" s="2207"/>
      <c r="V745" s="2207"/>
      <c r="W745" s="2207"/>
      <c r="X745" s="2208"/>
      <c r="Y745" s="2049">
        <v>0</v>
      </c>
      <c r="Z745" s="2050"/>
      <c r="AA745" s="2050"/>
      <c r="AB745" s="2051"/>
      <c r="AC745" s="2206">
        <f t="shared" si="48"/>
        <v>0</v>
      </c>
      <c r="AD745" s="2207"/>
      <c r="AE745" s="2207"/>
      <c r="AF745" s="2207"/>
      <c r="AG745" s="2208"/>
      <c r="AH745" s="2194">
        <v>0</v>
      </c>
      <c r="AI745" s="2195"/>
      <c r="AJ745" s="2195"/>
      <c r="AK745" s="2195"/>
      <c r="AL745" s="2196"/>
      <c r="AM745" s="2266" t="str">
        <f t="shared" si="49"/>
        <v xml:space="preserve"> </v>
      </c>
      <c r="AN745" s="2267"/>
      <c r="AO745" s="226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1987"/>
      <c r="C746" s="1988"/>
      <c r="D746" s="1988"/>
      <c r="E746" s="1988"/>
      <c r="F746" s="2057"/>
      <c r="G746" s="2217"/>
      <c r="H746" s="2218"/>
      <c r="I746" s="2218"/>
      <c r="J746" s="2219"/>
      <c r="K746" s="2086"/>
      <c r="L746" s="2087"/>
      <c r="M746" s="2087"/>
      <c r="N746" s="2088"/>
      <c r="O746" s="2049"/>
      <c r="P746" s="2050"/>
      <c r="Q746" s="2050"/>
      <c r="R746" s="2050"/>
      <c r="S746" s="2051"/>
      <c r="T746" s="2206">
        <f t="shared" si="47"/>
        <v>0</v>
      </c>
      <c r="U746" s="2207"/>
      <c r="V746" s="2207"/>
      <c r="W746" s="2207"/>
      <c r="X746" s="2208"/>
      <c r="Y746" s="2049">
        <v>0</v>
      </c>
      <c r="Z746" s="2050"/>
      <c r="AA746" s="2050"/>
      <c r="AB746" s="2051"/>
      <c r="AC746" s="2206">
        <f t="shared" si="48"/>
        <v>0</v>
      </c>
      <c r="AD746" s="2207"/>
      <c r="AE746" s="2207"/>
      <c r="AF746" s="2207"/>
      <c r="AG746" s="2208"/>
      <c r="AH746" s="2194">
        <v>0</v>
      </c>
      <c r="AI746" s="2195"/>
      <c r="AJ746" s="2195"/>
      <c r="AK746" s="2195"/>
      <c r="AL746" s="2196"/>
      <c r="AM746" s="2266" t="str">
        <f t="shared" si="49"/>
        <v xml:space="preserve"> </v>
      </c>
      <c r="AN746" s="2267"/>
      <c r="AO746" s="226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1987"/>
      <c r="C747" s="1988"/>
      <c r="D747" s="1988"/>
      <c r="E747" s="1988"/>
      <c r="F747" s="2057"/>
      <c r="G747" s="2217"/>
      <c r="H747" s="2218"/>
      <c r="I747" s="2218"/>
      <c r="J747" s="2219"/>
      <c r="K747" s="2086"/>
      <c r="L747" s="2087"/>
      <c r="M747" s="2087"/>
      <c r="N747" s="2088"/>
      <c r="O747" s="2049"/>
      <c r="P747" s="2050"/>
      <c r="Q747" s="2050"/>
      <c r="R747" s="2050"/>
      <c r="S747" s="2051"/>
      <c r="T747" s="2206">
        <f t="shared" si="47"/>
        <v>0</v>
      </c>
      <c r="U747" s="2207"/>
      <c r="V747" s="2207"/>
      <c r="W747" s="2207"/>
      <c r="X747" s="2208"/>
      <c r="Y747" s="2049">
        <v>0</v>
      </c>
      <c r="Z747" s="2050"/>
      <c r="AA747" s="2050"/>
      <c r="AB747" s="2051"/>
      <c r="AC747" s="2206">
        <f t="shared" si="48"/>
        <v>0</v>
      </c>
      <c r="AD747" s="2207"/>
      <c r="AE747" s="2207"/>
      <c r="AF747" s="2207"/>
      <c r="AG747" s="2208"/>
      <c r="AH747" s="2194">
        <v>0</v>
      </c>
      <c r="AI747" s="2195"/>
      <c r="AJ747" s="2195"/>
      <c r="AK747" s="2195"/>
      <c r="AL747" s="2196"/>
      <c r="AM747" s="2266" t="str">
        <f t="shared" si="49"/>
        <v xml:space="preserve"> </v>
      </c>
      <c r="AN747" s="2267"/>
      <c r="AO747" s="226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1987"/>
      <c r="C748" s="1988"/>
      <c r="D748" s="1988"/>
      <c r="E748" s="1988"/>
      <c r="F748" s="2057"/>
      <c r="G748" s="2217"/>
      <c r="H748" s="2218"/>
      <c r="I748" s="2218"/>
      <c r="J748" s="2219"/>
      <c r="K748" s="2086"/>
      <c r="L748" s="2087"/>
      <c r="M748" s="2087"/>
      <c r="N748" s="2088"/>
      <c r="O748" s="2049"/>
      <c r="P748" s="2050"/>
      <c r="Q748" s="2050"/>
      <c r="R748" s="2050"/>
      <c r="S748" s="2051"/>
      <c r="T748" s="2206">
        <f t="shared" si="47"/>
        <v>0</v>
      </c>
      <c r="U748" s="2207"/>
      <c r="V748" s="2207"/>
      <c r="W748" s="2207"/>
      <c r="X748" s="2208"/>
      <c r="Y748" s="2049">
        <v>0</v>
      </c>
      <c r="Z748" s="2050"/>
      <c r="AA748" s="2050"/>
      <c r="AB748" s="2051"/>
      <c r="AC748" s="2206">
        <f t="shared" si="48"/>
        <v>0</v>
      </c>
      <c r="AD748" s="2207"/>
      <c r="AE748" s="2207"/>
      <c r="AF748" s="2207"/>
      <c r="AG748" s="2208"/>
      <c r="AH748" s="2194">
        <v>0</v>
      </c>
      <c r="AI748" s="2195"/>
      <c r="AJ748" s="2195"/>
      <c r="AK748" s="2195"/>
      <c r="AL748" s="2196"/>
      <c r="AM748" s="2266" t="str">
        <f t="shared" si="49"/>
        <v xml:space="preserve"> </v>
      </c>
      <c r="AN748" s="2267"/>
      <c r="AO748" s="226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1987"/>
      <c r="C749" s="1988"/>
      <c r="D749" s="1988"/>
      <c r="E749" s="1988"/>
      <c r="F749" s="2057"/>
      <c r="G749" s="2217"/>
      <c r="H749" s="2218"/>
      <c r="I749" s="2218"/>
      <c r="J749" s="2219"/>
      <c r="K749" s="2086"/>
      <c r="L749" s="2087"/>
      <c r="M749" s="2087"/>
      <c r="N749" s="2088"/>
      <c r="O749" s="2049"/>
      <c r="P749" s="2050"/>
      <c r="Q749" s="2050"/>
      <c r="R749" s="2050"/>
      <c r="S749" s="2051"/>
      <c r="T749" s="2206">
        <f t="shared" si="47"/>
        <v>0</v>
      </c>
      <c r="U749" s="2207"/>
      <c r="V749" s="2207"/>
      <c r="W749" s="2207"/>
      <c r="X749" s="2208"/>
      <c r="Y749" s="2049">
        <v>0</v>
      </c>
      <c r="Z749" s="2050"/>
      <c r="AA749" s="2050"/>
      <c r="AB749" s="2051"/>
      <c r="AC749" s="2206">
        <f t="shared" si="48"/>
        <v>0</v>
      </c>
      <c r="AD749" s="2207"/>
      <c r="AE749" s="2207"/>
      <c r="AF749" s="2207"/>
      <c r="AG749" s="2208"/>
      <c r="AH749" s="2194">
        <v>0</v>
      </c>
      <c r="AI749" s="2195"/>
      <c r="AJ749" s="2195"/>
      <c r="AK749" s="2195"/>
      <c r="AL749" s="2196"/>
      <c r="AM749" s="2266" t="str">
        <f t="shared" si="49"/>
        <v xml:space="preserve"> </v>
      </c>
      <c r="AN749" s="2267"/>
      <c r="AO749" s="226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87"/>
      <c r="C750" s="1988"/>
      <c r="D750" s="1988"/>
      <c r="E750" s="1988"/>
      <c r="F750" s="2057"/>
      <c r="G750" s="2217"/>
      <c r="H750" s="2218"/>
      <c r="I750" s="2218"/>
      <c r="J750" s="2219"/>
      <c r="K750" s="2086"/>
      <c r="L750" s="2087"/>
      <c r="M750" s="2087"/>
      <c r="N750" s="2088"/>
      <c r="O750" s="2049"/>
      <c r="P750" s="2050"/>
      <c r="Q750" s="2050"/>
      <c r="R750" s="2050"/>
      <c r="S750" s="2051"/>
      <c r="T750" s="2206">
        <f t="shared" si="47"/>
        <v>0</v>
      </c>
      <c r="U750" s="2207"/>
      <c r="V750" s="2207"/>
      <c r="W750" s="2207"/>
      <c r="X750" s="2208"/>
      <c r="Y750" s="2049">
        <v>0</v>
      </c>
      <c r="Z750" s="2050"/>
      <c r="AA750" s="2050"/>
      <c r="AB750" s="2051"/>
      <c r="AC750" s="2206">
        <f t="shared" si="48"/>
        <v>0</v>
      </c>
      <c r="AD750" s="2207"/>
      <c r="AE750" s="2207"/>
      <c r="AF750" s="2207"/>
      <c r="AG750" s="2208"/>
      <c r="AH750" s="2194">
        <v>0</v>
      </c>
      <c r="AI750" s="2195"/>
      <c r="AJ750" s="2195"/>
      <c r="AK750" s="2195"/>
      <c r="AL750" s="2196"/>
      <c r="AM750" s="2266" t="str">
        <f t="shared" si="49"/>
        <v xml:space="preserve"> </v>
      </c>
      <c r="AN750" s="2267"/>
      <c r="AO750" s="226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1987"/>
      <c r="C751" s="1988"/>
      <c r="D751" s="1988"/>
      <c r="E751" s="1988"/>
      <c r="F751" s="2057"/>
      <c r="G751" s="2217"/>
      <c r="H751" s="2218"/>
      <c r="I751" s="2218"/>
      <c r="J751" s="2219"/>
      <c r="K751" s="2086"/>
      <c r="L751" s="2087"/>
      <c r="M751" s="2087"/>
      <c r="N751" s="2088"/>
      <c r="O751" s="2049"/>
      <c r="P751" s="2050"/>
      <c r="Q751" s="2050"/>
      <c r="R751" s="2050"/>
      <c r="S751" s="2051"/>
      <c r="T751" s="2206">
        <f t="shared" si="47"/>
        <v>0</v>
      </c>
      <c r="U751" s="2207"/>
      <c r="V751" s="2207"/>
      <c r="W751" s="2207"/>
      <c r="X751" s="2208"/>
      <c r="Y751" s="2049">
        <v>0</v>
      </c>
      <c r="Z751" s="2050"/>
      <c r="AA751" s="2050"/>
      <c r="AB751" s="2051"/>
      <c r="AC751" s="2206">
        <f t="shared" si="48"/>
        <v>0</v>
      </c>
      <c r="AD751" s="2207"/>
      <c r="AE751" s="2207"/>
      <c r="AF751" s="2207"/>
      <c r="AG751" s="2208"/>
      <c r="AH751" s="2194">
        <v>0</v>
      </c>
      <c r="AI751" s="2195"/>
      <c r="AJ751" s="2195"/>
      <c r="AK751" s="2195"/>
      <c r="AL751" s="2196"/>
      <c r="AM751" s="2266" t="str">
        <f t="shared" si="49"/>
        <v xml:space="preserve"> </v>
      </c>
      <c r="AN751" s="2267"/>
      <c r="AO751" s="226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1987"/>
      <c r="C752" s="1988"/>
      <c r="D752" s="1988"/>
      <c r="E752" s="1988"/>
      <c r="F752" s="2057"/>
      <c r="G752" s="2217"/>
      <c r="H752" s="2218"/>
      <c r="I752" s="2218"/>
      <c r="J752" s="2219"/>
      <c r="K752" s="2086"/>
      <c r="L752" s="2087"/>
      <c r="M752" s="2087"/>
      <c r="N752" s="2088"/>
      <c r="O752" s="2049"/>
      <c r="P752" s="2050"/>
      <c r="Q752" s="2050"/>
      <c r="R752" s="2050"/>
      <c r="S752" s="2051"/>
      <c r="T752" s="2206">
        <f t="shared" si="47"/>
        <v>0</v>
      </c>
      <c r="U752" s="2207"/>
      <c r="V752" s="2207"/>
      <c r="W752" s="2207"/>
      <c r="X752" s="2208"/>
      <c r="Y752" s="2049">
        <v>0</v>
      </c>
      <c r="Z752" s="2050"/>
      <c r="AA752" s="2050"/>
      <c r="AB752" s="2051"/>
      <c r="AC752" s="2206">
        <f t="shared" si="48"/>
        <v>0</v>
      </c>
      <c r="AD752" s="2207"/>
      <c r="AE752" s="2207"/>
      <c r="AF752" s="2207"/>
      <c r="AG752" s="2208"/>
      <c r="AH752" s="2194">
        <v>0</v>
      </c>
      <c r="AI752" s="2195"/>
      <c r="AJ752" s="2195"/>
      <c r="AK752" s="2195"/>
      <c r="AL752" s="2196"/>
      <c r="AM752" s="2266" t="str">
        <f t="shared" si="49"/>
        <v xml:space="preserve"> </v>
      </c>
      <c r="AN752" s="2267"/>
      <c r="AO752" s="226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09" t="s">
        <v>130</v>
      </c>
      <c r="C753" s="2110"/>
      <c r="D753" s="2110"/>
      <c r="E753" s="2110"/>
      <c r="F753" s="2112"/>
      <c r="G753" s="2275">
        <f>SUM(G728:J752)</f>
        <v>133</v>
      </c>
      <c r="H753" s="2276"/>
      <c r="I753" s="2276"/>
      <c r="J753" s="2277"/>
      <c r="O753" s="1587" t="s">
        <v>129</v>
      </c>
      <c r="P753" s="1588"/>
      <c r="Q753" s="1588"/>
      <c r="R753" s="1588"/>
      <c r="S753" s="1589"/>
      <c r="T753" s="2206">
        <f>SUM(T728:X752)</f>
        <v>216013</v>
      </c>
      <c r="U753" s="2207"/>
      <c r="V753" s="2207"/>
      <c r="W753" s="2207"/>
      <c r="X753" s="2208"/>
      <c r="AC753" s="1591" t="s">
        <v>972</v>
      </c>
      <c r="AD753" s="1590"/>
      <c r="AE753" s="1590"/>
      <c r="AF753" s="1590"/>
      <c r="AG753" s="1592"/>
      <c r="AH753" s="2209">
        <f>BI696</f>
        <v>0.6</v>
      </c>
      <c r="AI753" s="2210"/>
      <c r="AJ753" s="2210"/>
      <c r="AK753" s="2210"/>
      <c r="AL753" s="2211"/>
      <c r="AM753" s="2209">
        <f>BI728</f>
        <v>0.60020255608677031</v>
      </c>
      <c r="AN753" s="2210"/>
      <c r="AO753" s="2211"/>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8" t="s">
        <v>627</v>
      </c>
      <c r="AG755" s="2278"/>
      <c r="AH755" s="227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2175</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2176</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2177</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2178</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2179</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2180</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89" t="s">
        <v>409</v>
      </c>
      <c r="K768" s="2090"/>
      <c r="L768" s="2090"/>
      <c r="M768" s="2090"/>
      <c r="N768" s="2091"/>
      <c r="O768" s="2302" t="s">
        <v>293</v>
      </c>
      <c r="P768" s="2302"/>
      <c r="Q768" s="2302"/>
      <c r="R768" s="2302"/>
      <c r="S768" s="2302"/>
      <c r="T768" s="2197" t="s">
        <v>2169</v>
      </c>
      <c r="U768" s="2198"/>
      <c r="V768" s="2198"/>
      <c r="W768" s="2199"/>
      <c r="X768" s="2089" t="s">
        <v>479</v>
      </c>
      <c r="Y768" s="2090"/>
      <c r="Z768" s="2090"/>
      <c r="AA768" s="2090"/>
      <c r="AB768" s="2091"/>
      <c r="AC768" s="2089" t="s">
        <v>294</v>
      </c>
      <c r="AD768" s="2090"/>
      <c r="AE768" s="2090"/>
      <c r="AF768" s="2090"/>
      <c r="AG768" s="2091"/>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92"/>
      <c r="K769" s="2093"/>
      <c r="L769" s="2093"/>
      <c r="M769" s="2093"/>
      <c r="N769" s="2094"/>
      <c r="O769" s="2302"/>
      <c r="P769" s="2302"/>
      <c r="Q769" s="2302"/>
      <c r="R769" s="2302"/>
      <c r="S769" s="2302"/>
      <c r="T769" s="2200"/>
      <c r="U769" s="2201"/>
      <c r="V769" s="2201"/>
      <c r="W769" s="2202"/>
      <c r="X769" s="2092"/>
      <c r="Y769" s="2093"/>
      <c r="Z769" s="2093"/>
      <c r="AA769" s="2093"/>
      <c r="AB769" s="2094"/>
      <c r="AC769" s="2092"/>
      <c r="AD769" s="2093"/>
      <c r="AE769" s="2093"/>
      <c r="AF769" s="2093"/>
      <c r="AG769" s="2094"/>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92"/>
      <c r="K770" s="2093"/>
      <c r="L770" s="2093"/>
      <c r="M770" s="2093"/>
      <c r="N770" s="2094"/>
      <c r="O770" s="2302"/>
      <c r="P770" s="2302"/>
      <c r="Q770" s="2302"/>
      <c r="R770" s="2302"/>
      <c r="S770" s="2302"/>
      <c r="T770" s="2200"/>
      <c r="U770" s="2201"/>
      <c r="V770" s="2201"/>
      <c r="W770" s="2202"/>
      <c r="X770" s="2092"/>
      <c r="Y770" s="2093"/>
      <c r="Z770" s="2093"/>
      <c r="AA770" s="2093"/>
      <c r="AB770" s="2094"/>
      <c r="AC770" s="2092"/>
      <c r="AD770" s="2093"/>
      <c r="AE770" s="2093"/>
      <c r="AF770" s="2093"/>
      <c r="AG770" s="2094"/>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95"/>
      <c r="K771" s="2096"/>
      <c r="L771" s="2096"/>
      <c r="M771" s="2096"/>
      <c r="N771" s="2097"/>
      <c r="O771" s="2302"/>
      <c r="P771" s="2302"/>
      <c r="Q771" s="2302"/>
      <c r="R771" s="2302"/>
      <c r="S771" s="2302"/>
      <c r="T771" s="2203"/>
      <c r="U771" s="2204"/>
      <c r="V771" s="2204"/>
      <c r="W771" s="2205"/>
      <c r="X771" s="2095"/>
      <c r="Y771" s="2096"/>
      <c r="Z771" s="2096"/>
      <c r="AA771" s="2096"/>
      <c r="AB771" s="2097"/>
      <c r="AC771" s="2095"/>
      <c r="AD771" s="2096"/>
      <c r="AE771" s="2096"/>
      <c r="AF771" s="2096"/>
      <c r="AG771" s="2097"/>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87" t="s">
        <v>169</v>
      </c>
      <c r="K772" s="1988"/>
      <c r="L772" s="1988"/>
      <c r="M772" s="1988"/>
      <c r="N772" s="2057"/>
      <c r="O772" s="2008">
        <v>1</v>
      </c>
      <c r="P772" s="2008"/>
      <c r="Q772" s="2008"/>
      <c r="R772" s="2008"/>
      <c r="S772" s="2008"/>
      <c r="T772" s="2086">
        <v>1050</v>
      </c>
      <c r="U772" s="2087"/>
      <c r="V772" s="2087"/>
      <c r="W772" s="2088"/>
      <c r="X772" s="2049"/>
      <c r="Y772" s="2050"/>
      <c r="Z772" s="2050"/>
      <c r="AA772" s="2050"/>
      <c r="AB772" s="2051"/>
      <c r="AC772" s="2206">
        <f>X772*O772</f>
        <v>0</v>
      </c>
      <c r="AD772" s="2207"/>
      <c r="AE772" s="2207"/>
      <c r="AF772" s="2207"/>
      <c r="AG772" s="2208"/>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87"/>
      <c r="K773" s="1988"/>
      <c r="L773" s="1988"/>
      <c r="M773" s="1988"/>
      <c r="N773" s="2057"/>
      <c r="O773" s="2008"/>
      <c r="P773" s="2008"/>
      <c r="Q773" s="2008"/>
      <c r="R773" s="2008"/>
      <c r="S773" s="2008"/>
      <c r="T773" s="2086"/>
      <c r="U773" s="2087"/>
      <c r="V773" s="2087"/>
      <c r="W773" s="2088"/>
      <c r="X773" s="2049"/>
      <c r="Y773" s="2050"/>
      <c r="Z773" s="2050"/>
      <c r="AA773" s="2050"/>
      <c r="AB773" s="2051"/>
      <c r="AC773" s="2206">
        <f>X773*O773</f>
        <v>0</v>
      </c>
      <c r="AD773" s="2207"/>
      <c r="AE773" s="2207"/>
      <c r="AF773" s="2207"/>
      <c r="AG773" s="2208"/>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87"/>
      <c r="K774" s="1988"/>
      <c r="L774" s="1988"/>
      <c r="M774" s="1988"/>
      <c r="N774" s="2057"/>
      <c r="O774" s="2008"/>
      <c r="P774" s="2008"/>
      <c r="Q774" s="2008"/>
      <c r="R774" s="2008"/>
      <c r="S774" s="2008"/>
      <c r="T774" s="2086"/>
      <c r="U774" s="2087"/>
      <c r="V774" s="2087"/>
      <c r="W774" s="2088"/>
      <c r="X774" s="2049"/>
      <c r="Y774" s="2050"/>
      <c r="Z774" s="2050"/>
      <c r="AA774" s="2050"/>
      <c r="AB774" s="2051"/>
      <c r="AC774" s="2206">
        <f>X774*O774</f>
        <v>0</v>
      </c>
      <c r="AD774" s="2207"/>
      <c r="AE774" s="2207"/>
      <c r="AF774" s="2207"/>
      <c r="AG774" s="2208"/>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87"/>
      <c r="K775" s="1988"/>
      <c r="L775" s="1988"/>
      <c r="M775" s="1988"/>
      <c r="N775" s="2057"/>
      <c r="O775" s="2008"/>
      <c r="P775" s="2008"/>
      <c r="Q775" s="2008"/>
      <c r="R775" s="2008"/>
      <c r="S775" s="2008"/>
      <c r="T775" s="2086"/>
      <c r="U775" s="2087"/>
      <c r="V775" s="2087"/>
      <c r="W775" s="2088"/>
      <c r="X775" s="2049"/>
      <c r="Y775" s="2050"/>
      <c r="Z775" s="2050"/>
      <c r="AA775" s="2050"/>
      <c r="AB775" s="2051"/>
      <c r="AC775" s="2206">
        <f>X775*O775</f>
        <v>0</v>
      </c>
      <c r="AD775" s="2207"/>
      <c r="AE775" s="2207"/>
      <c r="AF775" s="2207"/>
      <c r="AG775" s="2208"/>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09" t="s">
        <v>130</v>
      </c>
      <c r="K776" s="2110"/>
      <c r="L776" s="2110"/>
      <c r="M776" s="2110"/>
      <c r="N776" s="2112"/>
      <c r="O776" s="2383">
        <f>SUM(O772:S775)</f>
        <v>1</v>
      </c>
      <c r="P776" s="2384"/>
      <c r="Q776" s="2384"/>
      <c r="R776" s="2384"/>
      <c r="S776" s="2385"/>
      <c r="X776" s="2349" t="s">
        <v>129</v>
      </c>
      <c r="Y776" s="2350"/>
      <c r="Z776" s="2350"/>
      <c r="AA776" s="2350"/>
      <c r="AB776" s="2351"/>
      <c r="AC776" s="2206">
        <f>SUM(AC772:AG775)</f>
        <v>0</v>
      </c>
      <c r="AD776" s="2207"/>
      <c r="AE776" s="2207"/>
      <c r="AF776" s="2207"/>
      <c r="AG776" s="2208"/>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1966" t="s">
        <v>707</v>
      </c>
      <c r="K778" s="1966"/>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9" t="s">
        <v>409</v>
      </c>
      <c r="K782" s="2090"/>
      <c r="L782" s="2090"/>
      <c r="M782" s="2090"/>
      <c r="N782" s="2091"/>
      <c r="O782" s="2302" t="s">
        <v>293</v>
      </c>
      <c r="P782" s="2302"/>
      <c r="Q782" s="2302"/>
      <c r="R782" s="2302"/>
      <c r="S782" s="2302"/>
      <c r="T782" s="2197" t="s">
        <v>2169</v>
      </c>
      <c r="U782" s="2198"/>
      <c r="V782" s="2198"/>
      <c r="W782" s="2199"/>
      <c r="X782" s="2089" t="s">
        <v>479</v>
      </c>
      <c r="Y782" s="2090"/>
      <c r="Z782" s="2090"/>
      <c r="AA782" s="2090"/>
      <c r="AB782" s="2091"/>
      <c r="AC782" s="2089" t="s">
        <v>294</v>
      </c>
      <c r="AD782" s="2090"/>
      <c r="AE782" s="2090"/>
      <c r="AF782" s="2090"/>
      <c r="AG782" s="2091"/>
      <c r="AH782" s="2381" t="s">
        <v>2461</v>
      </c>
      <c r="AI782" s="2090"/>
      <c r="AJ782" s="2090"/>
      <c r="AK782" s="2090"/>
      <c r="AL782" s="209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92"/>
      <c r="K783" s="2093"/>
      <c r="L783" s="2093"/>
      <c r="M783" s="2093"/>
      <c r="N783" s="2094"/>
      <c r="O783" s="2302"/>
      <c r="P783" s="2302"/>
      <c r="Q783" s="2302"/>
      <c r="R783" s="2302"/>
      <c r="S783" s="2302"/>
      <c r="T783" s="2200"/>
      <c r="U783" s="2201"/>
      <c r="V783" s="2201"/>
      <c r="W783" s="2202"/>
      <c r="X783" s="2092"/>
      <c r="Y783" s="2093"/>
      <c r="Z783" s="2093"/>
      <c r="AA783" s="2093"/>
      <c r="AB783" s="2094"/>
      <c r="AC783" s="2092"/>
      <c r="AD783" s="2093"/>
      <c r="AE783" s="2093"/>
      <c r="AF783" s="2093"/>
      <c r="AG783" s="2094"/>
      <c r="AH783" s="2092"/>
      <c r="AI783" s="2093"/>
      <c r="AJ783" s="2093"/>
      <c r="AK783" s="2093"/>
      <c r="AL783" s="209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92"/>
      <c r="K784" s="2093"/>
      <c r="L784" s="2093"/>
      <c r="M784" s="2093"/>
      <c r="N784" s="2094"/>
      <c r="O784" s="2302"/>
      <c r="P784" s="2302"/>
      <c r="Q784" s="2302"/>
      <c r="R784" s="2302"/>
      <c r="S784" s="2302"/>
      <c r="T784" s="2200"/>
      <c r="U784" s="2201"/>
      <c r="V784" s="2201"/>
      <c r="W784" s="2202"/>
      <c r="X784" s="2092"/>
      <c r="Y784" s="2093"/>
      <c r="Z784" s="2093"/>
      <c r="AA784" s="2093"/>
      <c r="AB784" s="2094"/>
      <c r="AC784" s="2092"/>
      <c r="AD784" s="2093"/>
      <c r="AE784" s="2093"/>
      <c r="AF784" s="2093"/>
      <c r="AG784" s="2094"/>
      <c r="AH784" s="2092"/>
      <c r="AI784" s="2093"/>
      <c r="AJ784" s="2093"/>
      <c r="AK784" s="2093"/>
      <c r="AL784" s="209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95"/>
      <c r="K785" s="2096"/>
      <c r="L785" s="2096"/>
      <c r="M785" s="2096"/>
      <c r="N785" s="2097"/>
      <c r="O785" s="2302"/>
      <c r="P785" s="2302"/>
      <c r="Q785" s="2302"/>
      <c r="R785" s="2302"/>
      <c r="S785" s="2302"/>
      <c r="T785" s="2203"/>
      <c r="U785" s="2204"/>
      <c r="V785" s="2204"/>
      <c r="W785" s="2205"/>
      <c r="X785" s="2095"/>
      <c r="Y785" s="2096"/>
      <c r="Z785" s="2096"/>
      <c r="AA785" s="2096"/>
      <c r="AB785" s="2097"/>
      <c r="AC785" s="2095"/>
      <c r="AD785" s="2096"/>
      <c r="AE785" s="2096"/>
      <c r="AF785" s="2096"/>
      <c r="AG785" s="2097"/>
      <c r="AH785" s="2095"/>
      <c r="AI785" s="2096"/>
      <c r="AJ785" s="2096"/>
      <c r="AK785" s="2096"/>
      <c r="AL785" s="209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87"/>
      <c r="K786" s="1988"/>
      <c r="L786" s="1988"/>
      <c r="M786" s="1988"/>
      <c r="N786" s="2057"/>
      <c r="O786" s="2008"/>
      <c r="P786" s="2008"/>
      <c r="Q786" s="2008"/>
      <c r="R786" s="2008"/>
      <c r="S786" s="2008"/>
      <c r="T786" s="2086"/>
      <c r="U786" s="2087"/>
      <c r="V786" s="2087"/>
      <c r="W786" s="2088"/>
      <c r="X786" s="2049"/>
      <c r="Y786" s="2050"/>
      <c r="Z786" s="2050"/>
      <c r="AA786" s="2050"/>
      <c r="AB786" s="2051"/>
      <c r="AC786" s="2206">
        <f t="shared" ref="AC786:AC795" si="50">X786*O786</f>
        <v>0</v>
      </c>
      <c r="AD786" s="2207"/>
      <c r="AE786" s="2207"/>
      <c r="AF786" s="2207"/>
      <c r="AG786" s="2208"/>
      <c r="AH786" s="2194"/>
      <c r="AI786" s="2195"/>
      <c r="AJ786" s="2195"/>
      <c r="AK786" s="2195"/>
      <c r="AL786" s="219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87"/>
      <c r="K787" s="1988"/>
      <c r="L787" s="1988"/>
      <c r="M787" s="1988"/>
      <c r="N787" s="2057"/>
      <c r="O787" s="2008"/>
      <c r="P787" s="2008"/>
      <c r="Q787" s="2008"/>
      <c r="R787" s="2008"/>
      <c r="S787" s="2008"/>
      <c r="T787" s="2086"/>
      <c r="U787" s="2087"/>
      <c r="V787" s="2087"/>
      <c r="W787" s="2088"/>
      <c r="X787" s="2049"/>
      <c r="Y787" s="2050"/>
      <c r="Z787" s="2050"/>
      <c r="AA787" s="2050"/>
      <c r="AB787" s="2051"/>
      <c r="AC787" s="2206">
        <f t="shared" si="50"/>
        <v>0</v>
      </c>
      <c r="AD787" s="2207"/>
      <c r="AE787" s="2207"/>
      <c r="AF787" s="2207"/>
      <c r="AG787" s="2208"/>
      <c r="AH787" s="2194"/>
      <c r="AI787" s="2195"/>
      <c r="AJ787" s="2195"/>
      <c r="AK787" s="2195"/>
      <c r="AL787" s="219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87"/>
      <c r="K788" s="1988"/>
      <c r="L788" s="1988"/>
      <c r="M788" s="1988"/>
      <c r="N788" s="2057"/>
      <c r="O788" s="2008"/>
      <c r="P788" s="2008"/>
      <c r="Q788" s="2008"/>
      <c r="R788" s="2008"/>
      <c r="S788" s="2008"/>
      <c r="T788" s="2086"/>
      <c r="U788" s="2087"/>
      <c r="V788" s="2087"/>
      <c r="W788" s="2088"/>
      <c r="X788" s="2049"/>
      <c r="Y788" s="2050"/>
      <c r="Z788" s="2050"/>
      <c r="AA788" s="2050"/>
      <c r="AB788" s="2051"/>
      <c r="AC788" s="2206">
        <f t="shared" si="50"/>
        <v>0</v>
      </c>
      <c r="AD788" s="2207"/>
      <c r="AE788" s="2207"/>
      <c r="AF788" s="2207"/>
      <c r="AG788" s="2208"/>
      <c r="AH788" s="2194"/>
      <c r="AI788" s="2195"/>
      <c r="AJ788" s="2195"/>
      <c r="AK788" s="2195"/>
      <c r="AL788" s="219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87"/>
      <c r="K789" s="1988"/>
      <c r="L789" s="1988"/>
      <c r="M789" s="1988"/>
      <c r="N789" s="2057"/>
      <c r="O789" s="2008"/>
      <c r="P789" s="2008"/>
      <c r="Q789" s="2008"/>
      <c r="R789" s="2008"/>
      <c r="S789" s="2008"/>
      <c r="T789" s="2086"/>
      <c r="U789" s="2087"/>
      <c r="V789" s="2087"/>
      <c r="W789" s="2088"/>
      <c r="X789" s="2049"/>
      <c r="Y789" s="2050"/>
      <c r="Z789" s="2050"/>
      <c r="AA789" s="2050"/>
      <c r="AB789" s="2051"/>
      <c r="AC789" s="2206">
        <f t="shared" si="50"/>
        <v>0</v>
      </c>
      <c r="AD789" s="2207"/>
      <c r="AE789" s="2207"/>
      <c r="AF789" s="2207"/>
      <c r="AG789" s="2208"/>
      <c r="AH789" s="2194"/>
      <c r="AI789" s="2195"/>
      <c r="AJ789" s="2195"/>
      <c r="AK789" s="2195"/>
      <c r="AL789" s="219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87"/>
      <c r="K790" s="1988"/>
      <c r="L790" s="1988"/>
      <c r="M790" s="1988"/>
      <c r="N790" s="2057"/>
      <c r="O790" s="2008"/>
      <c r="P790" s="2008"/>
      <c r="Q790" s="2008"/>
      <c r="R790" s="2008"/>
      <c r="S790" s="2008"/>
      <c r="T790" s="2086"/>
      <c r="U790" s="2087"/>
      <c r="V790" s="2087"/>
      <c r="W790" s="2088"/>
      <c r="X790" s="2049"/>
      <c r="Y790" s="2050"/>
      <c r="Z790" s="2050"/>
      <c r="AA790" s="2050"/>
      <c r="AB790" s="2051"/>
      <c r="AC790" s="2206">
        <f t="shared" si="50"/>
        <v>0</v>
      </c>
      <c r="AD790" s="2207"/>
      <c r="AE790" s="2207"/>
      <c r="AF790" s="2207"/>
      <c r="AG790" s="2208"/>
      <c r="AH790" s="2194"/>
      <c r="AI790" s="2195"/>
      <c r="AJ790" s="2195"/>
      <c r="AK790" s="2195"/>
      <c r="AL790" s="219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87"/>
      <c r="K791" s="1988"/>
      <c r="L791" s="1988"/>
      <c r="M791" s="1988"/>
      <c r="N791" s="2057"/>
      <c r="O791" s="2008"/>
      <c r="P791" s="2008"/>
      <c r="Q791" s="2008"/>
      <c r="R791" s="2008"/>
      <c r="S791" s="2008"/>
      <c r="T791" s="2086"/>
      <c r="U791" s="2087"/>
      <c r="V791" s="2087"/>
      <c r="W791" s="2088"/>
      <c r="X791" s="2049"/>
      <c r="Y791" s="2050"/>
      <c r="Z791" s="2050"/>
      <c r="AA791" s="2050"/>
      <c r="AB791" s="2051"/>
      <c r="AC791" s="2206">
        <f t="shared" si="50"/>
        <v>0</v>
      </c>
      <c r="AD791" s="2207"/>
      <c r="AE791" s="2207"/>
      <c r="AF791" s="2207"/>
      <c r="AG791" s="2208"/>
      <c r="AH791" s="2194"/>
      <c r="AI791" s="2195"/>
      <c r="AJ791" s="2195"/>
      <c r="AK791" s="2195"/>
      <c r="AL791" s="219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87"/>
      <c r="K792" s="1988"/>
      <c r="L792" s="1988"/>
      <c r="M792" s="1988"/>
      <c r="N792" s="2057"/>
      <c r="O792" s="2008"/>
      <c r="P792" s="2008"/>
      <c r="Q792" s="2008"/>
      <c r="R792" s="2008"/>
      <c r="S792" s="2008"/>
      <c r="T792" s="2086"/>
      <c r="U792" s="2087"/>
      <c r="V792" s="2087"/>
      <c r="W792" s="2088"/>
      <c r="X792" s="2049"/>
      <c r="Y792" s="2050"/>
      <c r="Z792" s="2050"/>
      <c r="AA792" s="2050"/>
      <c r="AB792" s="2051"/>
      <c r="AC792" s="2206">
        <f t="shared" si="50"/>
        <v>0</v>
      </c>
      <c r="AD792" s="2207"/>
      <c r="AE792" s="2207"/>
      <c r="AF792" s="2207"/>
      <c r="AG792" s="2208"/>
      <c r="AH792" s="2194"/>
      <c r="AI792" s="2195"/>
      <c r="AJ792" s="2195"/>
      <c r="AK792" s="2195"/>
      <c r="AL792" s="219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87"/>
      <c r="K793" s="1988"/>
      <c r="L793" s="1988"/>
      <c r="M793" s="1988"/>
      <c r="N793" s="2057"/>
      <c r="O793" s="2008"/>
      <c r="P793" s="2008"/>
      <c r="Q793" s="2008"/>
      <c r="R793" s="2008"/>
      <c r="S793" s="2008"/>
      <c r="T793" s="2086"/>
      <c r="U793" s="2087"/>
      <c r="V793" s="2087"/>
      <c r="W793" s="2088"/>
      <c r="X793" s="2049"/>
      <c r="Y793" s="2050"/>
      <c r="Z793" s="2050"/>
      <c r="AA793" s="2050"/>
      <c r="AB793" s="2051"/>
      <c r="AC793" s="2206">
        <f t="shared" si="50"/>
        <v>0</v>
      </c>
      <c r="AD793" s="2207"/>
      <c r="AE793" s="2207"/>
      <c r="AF793" s="2207"/>
      <c r="AG793" s="2208"/>
      <c r="AH793" s="2194"/>
      <c r="AI793" s="2195"/>
      <c r="AJ793" s="2195"/>
      <c r="AK793" s="2195"/>
      <c r="AL793" s="219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87"/>
      <c r="K794" s="1988"/>
      <c r="L794" s="1988"/>
      <c r="M794" s="1988"/>
      <c r="N794" s="2057"/>
      <c r="O794" s="2008"/>
      <c r="P794" s="2008"/>
      <c r="Q794" s="2008"/>
      <c r="R794" s="2008"/>
      <c r="S794" s="2008"/>
      <c r="T794" s="2086"/>
      <c r="U794" s="2087"/>
      <c r="V794" s="2087"/>
      <c r="W794" s="2088"/>
      <c r="X794" s="2049"/>
      <c r="Y794" s="2050"/>
      <c r="Z794" s="2050"/>
      <c r="AA794" s="2050"/>
      <c r="AB794" s="2051"/>
      <c r="AC794" s="2206">
        <f t="shared" si="50"/>
        <v>0</v>
      </c>
      <c r="AD794" s="2207"/>
      <c r="AE794" s="2207"/>
      <c r="AF794" s="2207"/>
      <c r="AG794" s="2208"/>
      <c r="AH794" s="2194"/>
      <c r="AI794" s="2195"/>
      <c r="AJ794" s="2195"/>
      <c r="AK794" s="2195"/>
      <c r="AL794" s="219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87"/>
      <c r="K795" s="1988"/>
      <c r="L795" s="1988"/>
      <c r="M795" s="1988"/>
      <c r="N795" s="2057"/>
      <c r="O795" s="2008"/>
      <c r="P795" s="2008"/>
      <c r="Q795" s="2008"/>
      <c r="R795" s="2008"/>
      <c r="S795" s="2008"/>
      <c r="T795" s="2086"/>
      <c r="U795" s="2087"/>
      <c r="V795" s="2087"/>
      <c r="W795" s="2088"/>
      <c r="X795" s="2049"/>
      <c r="Y795" s="2050"/>
      <c r="Z795" s="2050"/>
      <c r="AA795" s="2050"/>
      <c r="AB795" s="2051"/>
      <c r="AC795" s="2206">
        <f t="shared" si="50"/>
        <v>0</v>
      </c>
      <c r="AD795" s="2207"/>
      <c r="AE795" s="2207"/>
      <c r="AF795" s="2207"/>
      <c r="AG795" s="2208"/>
      <c r="AH795" s="2194"/>
      <c r="AI795" s="2195"/>
      <c r="AJ795" s="2195"/>
      <c r="AK795" s="2195"/>
      <c r="AL795" s="219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09" t="s">
        <v>130</v>
      </c>
      <c r="K796" s="2110"/>
      <c r="L796" s="2110"/>
      <c r="M796" s="2110"/>
      <c r="N796" s="2112"/>
      <c r="O796" s="2212">
        <f>SUM(O786:S795)</f>
        <v>0</v>
      </c>
      <c r="P796" s="2212"/>
      <c r="Q796" s="2212"/>
      <c r="R796" s="2212"/>
      <c r="S796" s="2212"/>
      <c r="X796" s="1604" t="s">
        <v>129</v>
      </c>
      <c r="Y796" s="1605"/>
      <c r="Z796" s="1605"/>
      <c r="AA796" s="1605"/>
      <c r="AB796" s="1606"/>
      <c r="AC796" s="2206">
        <f>SUM(AC786:AG795)</f>
        <v>0</v>
      </c>
      <c r="AD796" s="2207"/>
      <c r="AE796" s="2207"/>
      <c r="AF796" s="2207"/>
      <c r="AG796" s="22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58">
        <f>T753+AC776+AC796</f>
        <v>216013</v>
      </c>
      <c r="Z798" s="2058"/>
      <c r="AA798" s="2058"/>
      <c r="AB798" s="2058"/>
      <c r="AC798" s="20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58">
        <f>(T753+AC776+AC796)*12</f>
        <v>2592156</v>
      </c>
      <c r="Z799" s="2058"/>
      <c r="AA799" s="2058"/>
      <c r="AB799" s="2058"/>
      <c r="AC799" s="2058"/>
      <c r="AZ799" s="58"/>
      <c r="BA799" s="51" t="s">
        <v>668</v>
      </c>
      <c r="BB799" s="51"/>
      <c r="BC799" s="51"/>
      <c r="BD799" s="51"/>
      <c r="BE799" s="51"/>
      <c r="BF799" s="51"/>
      <c r="BG799" s="51"/>
      <c r="BH799" s="51"/>
      <c r="BI799" s="51"/>
      <c r="BJ799" s="51"/>
      <c r="BK799" s="51"/>
      <c r="BL799" s="51"/>
      <c r="BM799" s="51"/>
      <c r="BN799" s="2300" t="s">
        <v>503</v>
      </c>
      <c r="BO799" s="2301"/>
      <c r="BP799" s="58"/>
      <c r="BQ799" s="58"/>
      <c r="BR799" s="58"/>
      <c r="BS799" s="51" t="s">
        <v>670</v>
      </c>
      <c r="BT799" s="51"/>
      <c r="BU799" s="51"/>
      <c r="BV799" s="51"/>
      <c r="BW799" s="51"/>
      <c r="BX799" s="51"/>
      <c r="BY799" s="51"/>
      <c r="BZ799" s="51"/>
      <c r="CA799" s="51"/>
      <c r="CB799" s="2297" t="str">
        <f>T189</f>
        <v>Sonoma</v>
      </c>
      <c r="CC799" s="2298"/>
      <c r="CD799" s="2298"/>
      <c r="CE799" s="2298"/>
      <c r="CF799" s="2298"/>
      <c r="CG799" s="2298"/>
      <c r="CH799" s="229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2">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2437</v>
      </c>
      <c r="BP802" s="54"/>
      <c r="BQ802" s="54"/>
      <c r="BR802" s="54"/>
      <c r="BS802" s="54"/>
      <c r="BT802" s="54"/>
      <c r="BV802" s="53" t="s">
        <v>2438</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43"/>
      <c r="AA804" s="2244"/>
      <c r="AB804" s="2244"/>
      <c r="AC804" s="2244"/>
      <c r="AD804" s="2244"/>
      <c r="AE804" s="224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346"/>
      <c r="AA805" s="2244"/>
      <c r="AB805" s="2244"/>
      <c r="AC805" s="2244"/>
      <c r="AD805" s="2244"/>
      <c r="AE805" s="224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2">
        <v>0</v>
      </c>
      <c r="AA806" s="2180"/>
      <c r="AB806" s="2180"/>
      <c r="AC806" s="2180"/>
      <c r="AD806" s="2180"/>
      <c r="AE806" s="22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59">
        <f>'Subsidy Contract Calculation'!I30</f>
        <v>0</v>
      </c>
      <c r="AA807" s="2060"/>
      <c r="AB807" s="2060"/>
      <c r="AC807" s="2060"/>
      <c r="AD807" s="2060"/>
      <c r="AE807" s="206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51">
        <v>19296</v>
      </c>
      <c r="AA811" s="1952"/>
      <c r="AB811" s="1952"/>
      <c r="AC811" s="1952"/>
      <c r="AD811" s="1952"/>
      <c r="AE811" s="195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51"/>
      <c r="AA812" s="1952"/>
      <c r="AB812" s="1952"/>
      <c r="AC812" s="1952"/>
      <c r="AD812" s="1952"/>
      <c r="AE812" s="195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51"/>
      <c r="AA813" s="1952"/>
      <c r="AB813" s="1952"/>
      <c r="AC813" s="1952"/>
      <c r="AD813" s="1952"/>
      <c r="AE813" s="195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9" t="s">
        <v>2588</v>
      </c>
      <c r="Q814" s="2250"/>
      <c r="R814" s="2250"/>
      <c r="S814" s="2250"/>
      <c r="T814" s="2250"/>
      <c r="U814" s="2250"/>
      <c r="V814" s="2250"/>
      <c r="W814" s="2250"/>
      <c r="X814" s="2250"/>
      <c r="Y814" s="2251"/>
      <c r="Z814" s="1951">
        <v>6432</v>
      </c>
      <c r="AA814" s="1952"/>
      <c r="AB814" s="1952"/>
      <c r="AC814" s="1952"/>
      <c r="AD814" s="1952"/>
      <c r="AE814" s="195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59">
        <f>SUM(Z811:AE814)</f>
        <v>25728</v>
      </c>
      <c r="AA815" s="2060"/>
      <c r="AB815" s="2060"/>
      <c r="AC815" s="2060"/>
      <c r="AD815" s="2060"/>
      <c r="AE815" s="206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059">
        <f>Z815+Y799+Z807</f>
        <v>2617884</v>
      </c>
      <c r="AA816" s="2060"/>
      <c r="AB816" s="2060"/>
      <c r="AC816" s="2060"/>
      <c r="AD816" s="2060"/>
      <c r="AE816" s="206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8" t="s">
        <v>131</v>
      </c>
      <c r="N821" s="2358"/>
      <c r="O821" s="2358"/>
      <c r="P821" s="2359"/>
      <c r="Q821" s="2340" t="s">
        <v>300</v>
      </c>
      <c r="R821" s="2340"/>
      <c r="S821" s="2340"/>
      <c r="T821" s="2340"/>
      <c r="U821" s="2340" t="s">
        <v>301</v>
      </c>
      <c r="V821" s="2340"/>
      <c r="W821" s="2340"/>
      <c r="X821" s="2340"/>
      <c r="Y821" s="2340" t="s">
        <v>302</v>
      </c>
      <c r="Z821" s="2340"/>
      <c r="AA821" s="2340"/>
      <c r="AB821" s="2340"/>
      <c r="AC821" s="2340" t="s">
        <v>373</v>
      </c>
      <c r="AD821" s="2340"/>
      <c r="AE821" s="2340"/>
      <c r="AF821" s="2340"/>
      <c r="AG821" s="2372" t="s">
        <v>346</v>
      </c>
      <c r="AH821" s="2372"/>
      <c r="AI821" s="2372"/>
      <c r="AJ821" s="237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0"/>
      <c r="N822" s="2360"/>
      <c r="O822" s="2360"/>
      <c r="P822" s="2361"/>
      <c r="Q822" s="2340"/>
      <c r="R822" s="2340"/>
      <c r="S822" s="2340"/>
      <c r="T822" s="2340"/>
      <c r="U822" s="2340"/>
      <c r="V822" s="2340"/>
      <c r="W822" s="2340"/>
      <c r="X822" s="2340"/>
      <c r="Y822" s="2340"/>
      <c r="Z822" s="2340"/>
      <c r="AA822" s="2340"/>
      <c r="AB822" s="2340"/>
      <c r="AC822" s="2340"/>
      <c r="AD822" s="2340"/>
      <c r="AE822" s="2340"/>
      <c r="AF822" s="2340"/>
      <c r="AG822" s="2372"/>
      <c r="AH822" s="2372"/>
      <c r="AI822" s="2372"/>
      <c r="AJ822" s="237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92" t="s">
        <v>43</v>
      </c>
      <c r="D823" s="2293"/>
      <c r="E823" s="2293"/>
      <c r="F823" s="2293"/>
      <c r="G823" s="2293"/>
      <c r="H823" s="2293"/>
      <c r="I823" s="80"/>
      <c r="J823" s="80"/>
      <c r="K823" s="80"/>
      <c r="L823" s="81"/>
      <c r="M823" s="2189"/>
      <c r="N823" s="2189"/>
      <c r="O823" s="2189"/>
      <c r="P823" s="2189"/>
      <c r="Q823" s="2189"/>
      <c r="R823" s="2189"/>
      <c r="S823" s="2189"/>
      <c r="T823" s="2189"/>
      <c r="U823" s="2189">
        <v>65</v>
      </c>
      <c r="V823" s="2189"/>
      <c r="W823" s="2189"/>
      <c r="X823" s="2189"/>
      <c r="Y823" s="2189">
        <v>81</v>
      </c>
      <c r="Z823" s="2189"/>
      <c r="AA823" s="2189"/>
      <c r="AB823" s="2189"/>
      <c r="AC823" s="2191"/>
      <c r="AD823" s="2192"/>
      <c r="AE823" s="2192"/>
      <c r="AF823" s="2193"/>
      <c r="AG823" s="2191"/>
      <c r="AH823" s="2192"/>
      <c r="AI823" s="2192"/>
      <c r="AJ823" s="219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3" t="s">
        <v>44</v>
      </c>
      <c r="D824" s="2024"/>
      <c r="E824" s="2024"/>
      <c r="F824" s="2024"/>
      <c r="G824" s="2024"/>
      <c r="H824" s="2024"/>
      <c r="I824" s="77"/>
      <c r="J824" s="77"/>
      <c r="K824" s="77"/>
      <c r="L824" s="78"/>
      <c r="M824" s="2189"/>
      <c r="N824" s="2189"/>
      <c r="O824" s="2189"/>
      <c r="P824" s="2189"/>
      <c r="Q824" s="2189"/>
      <c r="R824" s="2189"/>
      <c r="S824" s="2189"/>
      <c r="T824" s="2189"/>
      <c r="U824" s="2189">
        <v>0</v>
      </c>
      <c r="V824" s="2189"/>
      <c r="W824" s="2189"/>
      <c r="X824" s="2189"/>
      <c r="Y824" s="2189">
        <v>0</v>
      </c>
      <c r="Z824" s="2189"/>
      <c r="AA824" s="2189"/>
      <c r="AB824" s="2189"/>
      <c r="AC824" s="2191"/>
      <c r="AD824" s="2192"/>
      <c r="AE824" s="2192"/>
      <c r="AF824" s="2193"/>
      <c r="AG824" s="2191"/>
      <c r="AH824" s="2192"/>
      <c r="AI824" s="2192"/>
      <c r="AJ824" s="219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3" t="s">
        <v>45</v>
      </c>
      <c r="D825" s="2024"/>
      <c r="E825" s="2024"/>
      <c r="F825" s="2024"/>
      <c r="G825" s="2024"/>
      <c r="H825" s="2024"/>
      <c r="I825" s="96"/>
      <c r="J825" s="96"/>
      <c r="K825" s="96"/>
      <c r="L825" s="97"/>
      <c r="M825" s="2189"/>
      <c r="N825" s="2189"/>
      <c r="O825" s="2189"/>
      <c r="P825" s="2189"/>
      <c r="Q825" s="2189"/>
      <c r="R825" s="2189"/>
      <c r="S825" s="2189"/>
      <c r="T825" s="2189"/>
      <c r="U825" s="2189">
        <v>14</v>
      </c>
      <c r="V825" s="2189"/>
      <c r="W825" s="2189"/>
      <c r="X825" s="2189"/>
      <c r="Y825" s="2189">
        <v>18</v>
      </c>
      <c r="Z825" s="2189"/>
      <c r="AA825" s="2189"/>
      <c r="AB825" s="2189"/>
      <c r="AC825" s="2191"/>
      <c r="AD825" s="2192"/>
      <c r="AE825" s="2192"/>
      <c r="AF825" s="2193"/>
      <c r="AG825" s="2191"/>
      <c r="AH825" s="2192"/>
      <c r="AI825" s="2192"/>
      <c r="AJ825" s="219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3" t="s">
        <v>823</v>
      </c>
      <c r="D826" s="2024"/>
      <c r="E826" s="2024"/>
      <c r="F826" s="2024"/>
      <c r="G826" s="2024"/>
      <c r="H826" s="2024"/>
      <c r="I826" s="96"/>
      <c r="J826" s="96"/>
      <c r="K826" s="96"/>
      <c r="L826" s="97"/>
      <c r="M826" s="2189"/>
      <c r="N826" s="2189"/>
      <c r="O826" s="2189"/>
      <c r="P826" s="2189"/>
      <c r="Q826" s="2189"/>
      <c r="R826" s="2189"/>
      <c r="S826" s="2189"/>
      <c r="T826" s="2189"/>
      <c r="U826" s="2189"/>
      <c r="V826" s="2189"/>
      <c r="W826" s="2189"/>
      <c r="X826" s="2189"/>
      <c r="Y826" s="2189"/>
      <c r="Z826" s="2189"/>
      <c r="AA826" s="2189"/>
      <c r="AB826" s="2189"/>
      <c r="AC826" s="2191"/>
      <c r="AD826" s="2192"/>
      <c r="AE826" s="2192"/>
      <c r="AF826" s="2193"/>
      <c r="AG826" s="2191"/>
      <c r="AH826" s="2192"/>
      <c r="AI826" s="2192"/>
      <c r="AJ826" s="219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3" t="s">
        <v>493</v>
      </c>
      <c r="D827" s="2024"/>
      <c r="E827" s="2024"/>
      <c r="F827" s="2024"/>
      <c r="G827" s="2024"/>
      <c r="H827" s="2024"/>
      <c r="I827" s="96"/>
      <c r="J827" s="96"/>
      <c r="K827" s="96"/>
      <c r="L827" s="97"/>
      <c r="M827" s="2189"/>
      <c r="N827" s="2189"/>
      <c r="O827" s="2189"/>
      <c r="P827" s="2189"/>
      <c r="Q827" s="2189"/>
      <c r="R827" s="2189"/>
      <c r="S827" s="2189"/>
      <c r="T827" s="2189"/>
      <c r="U827" s="2189">
        <v>35</v>
      </c>
      <c r="V827" s="2189"/>
      <c r="W827" s="2189"/>
      <c r="X827" s="2189"/>
      <c r="Y827" s="2189">
        <v>39</v>
      </c>
      <c r="Z827" s="2189"/>
      <c r="AA827" s="2189"/>
      <c r="AB827" s="2189"/>
      <c r="AC827" s="2191"/>
      <c r="AD827" s="2192"/>
      <c r="AE827" s="2192"/>
      <c r="AF827" s="2193"/>
      <c r="AG827" s="2191"/>
      <c r="AH827" s="2192"/>
      <c r="AI827" s="2192"/>
      <c r="AJ827" s="219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6" t="s">
        <v>844</v>
      </c>
      <c r="D828" s="2024"/>
      <c r="E828" s="2024"/>
      <c r="F828" s="2024"/>
      <c r="G828" s="2024"/>
      <c r="H828" s="2024"/>
      <c r="I828" s="96"/>
      <c r="J828" s="96"/>
      <c r="K828" s="96"/>
      <c r="L828" s="97"/>
      <c r="M828" s="2189"/>
      <c r="N828" s="2189"/>
      <c r="O828" s="2189"/>
      <c r="P828" s="2189"/>
      <c r="Q828" s="2189"/>
      <c r="R828" s="2189"/>
      <c r="S828" s="2189"/>
      <c r="T828" s="2189"/>
      <c r="U828" s="2189"/>
      <c r="V828" s="2189"/>
      <c r="W828" s="2189"/>
      <c r="X828" s="2189"/>
      <c r="Y828" s="2189"/>
      <c r="Z828" s="2189"/>
      <c r="AA828" s="2189"/>
      <c r="AB828" s="2189"/>
      <c r="AC828" s="2191"/>
      <c r="AD828" s="2192"/>
      <c r="AE828" s="2192"/>
      <c r="AF828" s="2193"/>
      <c r="AG828" s="2191"/>
      <c r="AH828" s="2192"/>
      <c r="AI828" s="2192"/>
      <c r="AJ828" s="219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69"/>
      <c r="G829" s="2227"/>
      <c r="H829" s="2227"/>
      <c r="I829" s="2227"/>
      <c r="J829" s="2227"/>
      <c r="K829" s="2227"/>
      <c r="L829" s="2228"/>
      <c r="M829" s="2189"/>
      <c r="N829" s="2189"/>
      <c r="O829" s="2189"/>
      <c r="P829" s="2189"/>
      <c r="Q829" s="2189"/>
      <c r="R829" s="2189"/>
      <c r="S829" s="2189"/>
      <c r="T829" s="2189"/>
      <c r="U829" s="2189"/>
      <c r="V829" s="2189"/>
      <c r="W829" s="2189"/>
      <c r="X829" s="2189"/>
      <c r="Y829" s="2189"/>
      <c r="Z829" s="2189"/>
      <c r="AA829" s="2189"/>
      <c r="AB829" s="2189"/>
      <c r="AC829" s="2191"/>
      <c r="AD829" s="2192"/>
      <c r="AE829" s="2192"/>
      <c r="AF829" s="2193"/>
      <c r="AG829" s="2191"/>
      <c r="AH829" s="2192"/>
      <c r="AI829" s="2192"/>
      <c r="AJ829" s="219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09" t="s">
        <v>129</v>
      </c>
      <c r="D830" s="2110"/>
      <c r="E830" s="2110"/>
      <c r="F830" s="2110"/>
      <c r="G830" s="2110"/>
      <c r="H830" s="2110"/>
      <c r="I830" s="2110"/>
      <c r="J830" s="2110"/>
      <c r="K830" s="2110"/>
      <c r="L830" s="2112"/>
      <c r="M830" s="2190">
        <f>SUM(M823:P829)</f>
        <v>0</v>
      </c>
      <c r="N830" s="2190"/>
      <c r="O830" s="2190"/>
      <c r="P830" s="2190"/>
      <c r="Q830" s="2190">
        <f>SUM(Q823:T829)</f>
        <v>0</v>
      </c>
      <c r="R830" s="2190"/>
      <c r="S830" s="2190"/>
      <c r="T830" s="2190"/>
      <c r="U830" s="2190">
        <f>SUM(U823:X829)</f>
        <v>114</v>
      </c>
      <c r="V830" s="2190"/>
      <c r="W830" s="2190"/>
      <c r="X830" s="2190"/>
      <c r="Y830" s="2190">
        <f>SUM(Y823:AB829)</f>
        <v>138</v>
      </c>
      <c r="Z830" s="2190"/>
      <c r="AA830" s="2190"/>
      <c r="AB830" s="2190"/>
      <c r="AC830" s="2190">
        <f>SUM(AC823:AF829)</f>
        <v>0</v>
      </c>
      <c r="AD830" s="2190"/>
      <c r="AE830" s="2190"/>
      <c r="AF830" s="2190"/>
      <c r="AG830" s="2190">
        <f>SUM(AG823:AJ829)</f>
        <v>0</v>
      </c>
      <c r="AH830" s="2190"/>
      <c r="AI830" s="2190"/>
      <c r="AJ830" s="21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3" t="s">
        <v>2567</v>
      </c>
      <c r="D835" s="2444"/>
      <c r="E835" s="2444"/>
      <c r="F835" s="2444"/>
      <c r="G835" s="2444"/>
      <c r="H835" s="2444"/>
      <c r="I835" s="2444"/>
      <c r="J835" s="2444"/>
      <c r="K835" s="2444"/>
      <c r="L835" s="2444"/>
      <c r="M835" s="2444"/>
      <c r="N835" s="2444"/>
      <c r="O835" s="2444"/>
      <c r="P835" s="2444"/>
      <c r="Q835" s="2444"/>
      <c r="R835" s="2444"/>
      <c r="S835" s="2444"/>
      <c r="T835" s="2444"/>
      <c r="U835" s="2444"/>
      <c r="V835" s="2444"/>
      <c r="W835" s="2444"/>
      <c r="X835" s="2444"/>
      <c r="Y835" s="2444"/>
      <c r="Z835" s="2444"/>
      <c r="AA835" s="2444"/>
      <c r="AB835" s="2444"/>
      <c r="AC835" s="2444"/>
      <c r="AD835" s="2444"/>
      <c r="AE835" s="2444"/>
      <c r="AF835" s="2444"/>
      <c r="AG835" s="2444"/>
      <c r="AH835" s="2444"/>
      <c r="AI835" s="2444"/>
      <c r="AJ835" s="24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98"/>
      <c r="X840" s="2098"/>
      <c r="Y840" s="2098"/>
      <c r="Z840" s="2098"/>
      <c r="AA840" s="2098"/>
      <c r="AB840" s="2098"/>
      <c r="AC840" s="209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98">
        <v>5000</v>
      </c>
      <c r="X841" s="2098"/>
      <c r="Y841" s="2098"/>
      <c r="Z841" s="2098"/>
      <c r="AA841" s="2098"/>
      <c r="AB841" s="2098"/>
      <c r="AC841" s="209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98">
        <v>7000</v>
      </c>
      <c r="X842" s="2098"/>
      <c r="Y842" s="2098"/>
      <c r="Z842" s="2098"/>
      <c r="AA842" s="2098"/>
      <c r="AB842" s="2098"/>
      <c r="AC842" s="209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98"/>
      <c r="X843" s="2098"/>
      <c r="Y843" s="2098"/>
      <c r="Z843" s="2098"/>
      <c r="AA843" s="2098"/>
      <c r="AB843" s="2098"/>
      <c r="AC843" s="209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9" t="s">
        <v>2515</v>
      </c>
      <c r="N844" s="2227"/>
      <c r="O844" s="2227"/>
      <c r="P844" s="2227"/>
      <c r="Q844" s="2227"/>
      <c r="R844" s="2227"/>
      <c r="S844" s="2227"/>
      <c r="T844" s="2227"/>
      <c r="U844" s="2227"/>
      <c r="V844" s="2228"/>
      <c r="W844" s="2098">
        <v>8000</v>
      </c>
      <c r="X844" s="2098"/>
      <c r="Y844" s="2098"/>
      <c r="Z844" s="2098"/>
      <c r="AA844" s="2098"/>
      <c r="AB844" s="2098"/>
      <c r="AC844" s="209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9">
        <f>ROUNDDOWN(BC932*2,2)</f>
        <v>0</v>
      </c>
      <c r="BJ844" s="2339"/>
      <c r="BK844" s="2339"/>
      <c r="BL844" s="2339"/>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59">
        <f>SUM(W840:AC844)</f>
        <v>20000</v>
      </c>
      <c r="X845" s="2060"/>
      <c r="Y845" s="2060"/>
      <c r="Z845" s="2060"/>
      <c r="AA845" s="2060"/>
      <c r="AB845" s="2060"/>
      <c r="AC845" s="206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09" t="s">
        <v>357</v>
      </c>
      <c r="K847" s="2110"/>
      <c r="L847" s="2110"/>
      <c r="M847" s="2110"/>
      <c r="N847" s="2110"/>
      <c r="O847" s="2110"/>
      <c r="P847" s="2110"/>
      <c r="Q847" s="2110"/>
      <c r="R847" s="2110"/>
      <c r="S847" s="2110"/>
      <c r="T847" s="2110"/>
      <c r="U847" s="2110"/>
      <c r="V847" s="2112"/>
      <c r="W847" s="1951">
        <f>60*133*12</f>
        <v>95760</v>
      </c>
      <c r="X847" s="1952"/>
      <c r="Y847" s="1952"/>
      <c r="Z847" s="1952"/>
      <c r="AA847" s="1952"/>
      <c r="AB847" s="1952"/>
      <c r="AC847" s="1953"/>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41"/>
      <c r="X849" s="2241"/>
      <c r="Y849" s="2241"/>
      <c r="Z849" s="2241"/>
      <c r="AA849" s="2241"/>
      <c r="AB849" s="2241"/>
      <c r="AC849" s="224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41">
        <v>60000</v>
      </c>
      <c r="X850" s="2241"/>
      <c r="Y850" s="2241"/>
      <c r="Z850" s="2241"/>
      <c r="AA850" s="2241"/>
      <c r="AB850" s="2241"/>
      <c r="AC850" s="224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41">
        <v>70000</v>
      </c>
      <c r="X851" s="2241"/>
      <c r="Y851" s="2241"/>
      <c r="Z851" s="2241"/>
      <c r="AA851" s="2241"/>
      <c r="AB851" s="2241"/>
      <c r="AC851" s="224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57"/>
      <c r="BH851" s="2257"/>
      <c r="BI851" s="2257"/>
      <c r="BJ851" s="2257"/>
      <c r="BK851" s="2257"/>
      <c r="BL851" s="2257"/>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41">
        <v>70000</v>
      </c>
      <c r="X852" s="2241"/>
      <c r="Y852" s="2241"/>
      <c r="Z852" s="2241"/>
      <c r="AA852" s="2241"/>
      <c r="AB852" s="2241"/>
      <c r="AC852" s="224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55">
        <f>SUM(W849:AC852)</f>
        <v>200000</v>
      </c>
      <c r="X853" s="2355"/>
      <c r="Y853" s="2355"/>
      <c r="Z853" s="2355"/>
      <c r="AA853" s="2355"/>
      <c r="AB853" s="2355"/>
      <c r="AC853" s="235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42">
        <f>SUM(AZ821:AZ849)</f>
        <v>7.5000000000000011E-2</v>
      </c>
      <c r="BA854" s="2242"/>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062">
        <v>55000</v>
      </c>
      <c r="X855" s="2063"/>
      <c r="Y855" s="2063"/>
      <c r="Z855" s="2063"/>
      <c r="AA855" s="2063"/>
      <c r="AB855" s="2063"/>
      <c r="AC855" s="2064"/>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221">
        <v>1</v>
      </c>
      <c r="U856" s="2075"/>
      <c r="V856" s="222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062">
        <v>70000</v>
      </c>
      <c r="X857" s="2063"/>
      <c r="Y857" s="2063"/>
      <c r="Z857" s="2063"/>
      <c r="AA857" s="2063"/>
      <c r="AB857" s="2063"/>
      <c r="AC857" s="2064"/>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221">
        <v>1</v>
      </c>
      <c r="U858" s="2075"/>
      <c r="V858" s="222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9" t="s">
        <v>2516</v>
      </c>
      <c r="N859" s="2227"/>
      <c r="O859" s="2227"/>
      <c r="P859" s="2227"/>
      <c r="Q859" s="2227"/>
      <c r="R859" s="2227"/>
      <c r="S859" s="2227"/>
      <c r="T859" s="2227"/>
      <c r="U859" s="2227"/>
      <c r="V859" s="2228"/>
      <c r="W859" s="2062">
        <v>40000</v>
      </c>
      <c r="X859" s="2063"/>
      <c r="Y859" s="2063"/>
      <c r="Z859" s="2063"/>
      <c r="AA859" s="2063"/>
      <c r="AB859" s="2063"/>
      <c r="AC859" s="2064"/>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52">
        <f>SUM(W855:AC859)</f>
        <v>165000</v>
      </c>
      <c r="X860" s="2353"/>
      <c r="Y860" s="2353"/>
      <c r="Z860" s="2353"/>
      <c r="AA860" s="2353"/>
      <c r="AB860" s="2353"/>
      <c r="AC860" s="2354"/>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062">
        <f>24100+33848</f>
        <v>57948</v>
      </c>
      <c r="X861" s="2063"/>
      <c r="Y861" s="2063"/>
      <c r="Z861" s="2063"/>
      <c r="AA861" s="2063"/>
      <c r="AB861" s="2063"/>
      <c r="AC861" s="2064"/>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098">
        <v>18000</v>
      </c>
      <c r="X863" s="2098"/>
      <c r="Y863" s="2098"/>
      <c r="Z863" s="2098"/>
      <c r="AA863" s="2098"/>
      <c r="AB863" s="2098"/>
      <c r="AC863" s="2098"/>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98">
        <v>63000</v>
      </c>
      <c r="X864" s="2098"/>
      <c r="Y864" s="2098"/>
      <c r="Z864" s="2098"/>
      <c r="AA864" s="2098"/>
      <c r="AB864" s="2098"/>
      <c r="AC864" s="2098"/>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98">
        <v>48000</v>
      </c>
      <c r="X865" s="2098"/>
      <c r="Y865" s="2098"/>
      <c r="Z865" s="2098"/>
      <c r="AA865" s="2098"/>
      <c r="AB865" s="2098"/>
      <c r="AC865" s="2098"/>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98">
        <v>23000</v>
      </c>
      <c r="X866" s="2098"/>
      <c r="Y866" s="2098"/>
      <c r="Z866" s="2098"/>
      <c r="AA866" s="2098"/>
      <c r="AB866" s="2098"/>
      <c r="AC866" s="2098"/>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98">
        <v>33000</v>
      </c>
      <c r="X867" s="2098"/>
      <c r="Y867" s="2098"/>
      <c r="Z867" s="2098"/>
      <c r="AA867" s="2098"/>
      <c r="AB867" s="2098"/>
      <c r="AC867" s="209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98">
        <v>10000</v>
      </c>
      <c r="X868" s="2098"/>
      <c r="Y868" s="2098"/>
      <c r="Z868" s="2098"/>
      <c r="AA868" s="2098"/>
      <c r="AB868" s="2098"/>
      <c r="AC868" s="209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9" t="s">
        <v>2517</v>
      </c>
      <c r="N869" s="2227"/>
      <c r="O869" s="2227"/>
      <c r="P869" s="2227"/>
      <c r="Q869" s="2227"/>
      <c r="R869" s="2227"/>
      <c r="S869" s="2227"/>
      <c r="T869" s="2227"/>
      <c r="U869" s="2227"/>
      <c r="V869" s="2228"/>
      <c r="W869" s="2098">
        <v>36792</v>
      </c>
      <c r="X869" s="2098"/>
      <c r="Y869" s="2098"/>
      <c r="Z869" s="2098"/>
      <c r="AA869" s="2098"/>
      <c r="AB869" s="2098"/>
      <c r="AC869" s="2098"/>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058">
        <f>SUM(W863:AC869)</f>
        <v>231792</v>
      </c>
      <c r="X870" s="2058"/>
      <c r="Y870" s="2058"/>
      <c r="Z870" s="2058"/>
      <c r="AA870" s="2058"/>
      <c r="AB870" s="2058"/>
      <c r="AC870" s="205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26" t="s">
        <v>345</v>
      </c>
      <c r="N872" s="2227"/>
      <c r="O872" s="2227"/>
      <c r="P872" s="2227"/>
      <c r="Q872" s="2227"/>
      <c r="R872" s="2227"/>
      <c r="S872" s="2227"/>
      <c r="T872" s="2227"/>
      <c r="U872" s="2227"/>
      <c r="V872" s="2228"/>
      <c r="W872" s="1951"/>
      <c r="X872" s="1952"/>
      <c r="Y872" s="1952"/>
      <c r="Z872" s="1952"/>
      <c r="AA872" s="1952"/>
      <c r="AB872" s="1952"/>
      <c r="AC872" s="1953"/>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26" t="s">
        <v>345</v>
      </c>
      <c r="N873" s="2227"/>
      <c r="O873" s="2227"/>
      <c r="P873" s="2227"/>
      <c r="Q873" s="2227"/>
      <c r="R873" s="2227"/>
      <c r="S873" s="2227"/>
      <c r="T873" s="2227"/>
      <c r="U873" s="2227"/>
      <c r="V873" s="2228"/>
      <c r="W873" s="1951"/>
      <c r="X873" s="1952"/>
      <c r="Y873" s="1952"/>
      <c r="Z873" s="1952"/>
      <c r="AA873" s="1952"/>
      <c r="AB873" s="1952"/>
      <c r="AC873" s="1953"/>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6" t="s">
        <v>345</v>
      </c>
      <c r="N874" s="2227"/>
      <c r="O874" s="2227"/>
      <c r="P874" s="2227"/>
      <c r="Q874" s="2227"/>
      <c r="R874" s="2227"/>
      <c r="S874" s="2227"/>
      <c r="T874" s="2227"/>
      <c r="U874" s="2227"/>
      <c r="V874" s="2228"/>
      <c r="W874" s="1951"/>
      <c r="X874" s="1952"/>
      <c r="Y874" s="1952"/>
      <c r="Z874" s="1952"/>
      <c r="AA874" s="1952"/>
      <c r="AB874" s="1952"/>
      <c r="AC874" s="195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6" t="s">
        <v>345</v>
      </c>
      <c r="N875" s="2227"/>
      <c r="O875" s="2227"/>
      <c r="P875" s="2227"/>
      <c r="Q875" s="2227"/>
      <c r="R875" s="2227"/>
      <c r="S875" s="2227"/>
      <c r="T875" s="2227"/>
      <c r="U875" s="2227"/>
      <c r="V875" s="2228"/>
      <c r="W875" s="1951"/>
      <c r="X875" s="1952"/>
      <c r="Y875" s="1952"/>
      <c r="Z875" s="1952"/>
      <c r="AA875" s="1952"/>
      <c r="AB875" s="1952"/>
      <c r="AC875" s="195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6" t="s">
        <v>345</v>
      </c>
      <c r="N876" s="2227"/>
      <c r="O876" s="2227"/>
      <c r="P876" s="2227"/>
      <c r="Q876" s="2227"/>
      <c r="R876" s="2227"/>
      <c r="S876" s="2227"/>
      <c r="T876" s="2227"/>
      <c r="U876" s="2227"/>
      <c r="V876" s="2228"/>
      <c r="W876" s="1951"/>
      <c r="X876" s="1952"/>
      <c r="Y876" s="1952"/>
      <c r="Z876" s="1952"/>
      <c r="AA876" s="1952"/>
      <c r="AB876" s="1952"/>
      <c r="AC876" s="195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59">
        <f>SUM(W872:AC876)</f>
        <v>0</v>
      </c>
      <c r="X877" s="2060"/>
      <c r="Y877" s="2060"/>
      <c r="Z877" s="2060"/>
      <c r="AA877" s="2060"/>
      <c r="AB877" s="2060"/>
      <c r="AC877" s="206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060">
        <f>W845+W853+W860+W861+W870+W877+W847</f>
        <v>770500</v>
      </c>
      <c r="AD881" s="2060"/>
      <c r="AE881" s="2060"/>
      <c r="AF881" s="2060"/>
      <c r="AG881" s="2060"/>
      <c r="AH881" s="206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47">
        <f>O796+O776+G753</f>
        <v>134</v>
      </c>
      <c r="AD882" s="2347"/>
      <c r="AE882" s="2347"/>
      <c r="AF882" s="2347"/>
      <c r="AG882" s="2347"/>
      <c r="AH882" s="234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84" t="s">
        <v>33</v>
      </c>
      <c r="F883" s="2284"/>
      <c r="G883" s="2284"/>
      <c r="H883" s="2284"/>
      <c r="I883" s="2284"/>
      <c r="J883" s="2284"/>
      <c r="K883" s="2284"/>
      <c r="L883" s="2284"/>
      <c r="M883" s="2284"/>
      <c r="N883" s="2284"/>
      <c r="O883" s="2284"/>
      <c r="P883" s="2284"/>
      <c r="Q883" s="2284"/>
      <c r="R883" s="2284"/>
      <c r="S883" s="2284"/>
      <c r="T883" s="2284"/>
      <c r="U883" s="2284"/>
      <c r="V883" s="2284"/>
      <c r="W883" s="2284"/>
      <c r="X883" s="2284"/>
      <c r="Y883" s="2284"/>
      <c r="Z883" s="2284"/>
      <c r="AA883" s="2284"/>
      <c r="AB883" s="2285"/>
      <c r="AC883" s="2058">
        <f>IF(ISERROR((ROUNDDOWN(AC881/AC882,0))),0,(ROUNDDOWN(AC881/AC882,0)))</f>
        <v>5750</v>
      </c>
      <c r="AD883" s="2058"/>
      <c r="AE883" s="2058"/>
      <c r="AF883" s="2058"/>
      <c r="AG883" s="2058"/>
      <c r="AH883" s="205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287">
        <v>717672</v>
      </c>
      <c r="AD884" s="2288"/>
      <c r="AE884" s="2288"/>
      <c r="AF884" s="2288"/>
      <c r="AG884" s="2288"/>
      <c r="AH884" s="228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1953"/>
      <c r="AD885" s="2098"/>
      <c r="AE885" s="2098"/>
      <c r="AF885" s="2098"/>
      <c r="AG885" s="2098"/>
      <c r="AH885" s="209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1952">
        <v>26600</v>
      </c>
      <c r="AD886" s="1952"/>
      <c r="AE886" s="1952"/>
      <c r="AF886" s="1952"/>
      <c r="AG886" s="1952"/>
      <c r="AH886" s="195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1952">
        <v>33500</v>
      </c>
      <c r="AD887" s="1952"/>
      <c r="AE887" s="1952"/>
      <c r="AF887" s="1952"/>
      <c r="AG887" s="1952"/>
      <c r="AH887" s="195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2168</v>
      </c>
      <c r="AC888" s="2191">
        <v>13152</v>
      </c>
      <c r="AD888" s="2192"/>
      <c r="AE888" s="2192"/>
      <c r="AF888" s="2192"/>
      <c r="AG888" s="2192"/>
      <c r="AH888" s="219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1952"/>
      <c r="AD889" s="1952"/>
      <c r="AE889" s="1952"/>
      <c r="AF889" s="1952"/>
      <c r="AG889" s="1952"/>
      <c r="AH889" s="1953"/>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1952"/>
      <c r="AD890" s="1952"/>
      <c r="AE890" s="1952"/>
      <c r="AF890" s="1952"/>
      <c r="AG890" s="1952"/>
      <c r="AH890" s="195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083" t="s">
        <v>1038</v>
      </c>
      <c r="D891" s="2084"/>
      <c r="E891" s="2084"/>
      <c r="F891" s="2084"/>
      <c r="G891" s="2084"/>
      <c r="H891" s="2084"/>
      <c r="I891" s="2084"/>
      <c r="J891" s="2084"/>
      <c r="K891" s="2084"/>
      <c r="L891" s="2084"/>
      <c r="M891" s="2084"/>
      <c r="N891" s="2084"/>
      <c r="O891" s="2084"/>
      <c r="P891" s="2084"/>
      <c r="Q891" s="2084"/>
      <c r="R891" s="2084"/>
      <c r="S891" s="2084"/>
      <c r="T891" s="2084"/>
      <c r="U891" s="2084"/>
      <c r="V891" s="2084"/>
      <c r="W891" s="2084"/>
      <c r="X891" s="2084"/>
      <c r="Y891" s="2084"/>
      <c r="Z891" s="2084"/>
      <c r="AA891" s="2084"/>
      <c r="AB891" s="2085"/>
      <c r="AC891" s="2098"/>
      <c r="AD891" s="2098"/>
      <c r="AE891" s="2098"/>
      <c r="AF891" s="2098"/>
      <c r="AG891" s="2098"/>
      <c r="AH891" s="209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083" t="s">
        <v>1038</v>
      </c>
      <c r="D892" s="2084"/>
      <c r="E892" s="2084"/>
      <c r="F892" s="2084"/>
      <c r="G892" s="2084"/>
      <c r="H892" s="2084"/>
      <c r="I892" s="2084"/>
      <c r="J892" s="2084"/>
      <c r="K892" s="2084"/>
      <c r="L892" s="2084"/>
      <c r="M892" s="2084"/>
      <c r="N892" s="2084"/>
      <c r="O892" s="2084"/>
      <c r="P892" s="2084"/>
      <c r="Q892" s="2084"/>
      <c r="R892" s="2084"/>
      <c r="S892" s="2084"/>
      <c r="T892" s="2084"/>
      <c r="U892" s="2084"/>
      <c r="V892" s="2084"/>
      <c r="W892" s="2084"/>
      <c r="X892" s="2084"/>
      <c r="Y892" s="2084"/>
      <c r="Z892" s="2084"/>
      <c r="AA892" s="2084"/>
      <c r="AB892" s="2085"/>
      <c r="AC892" s="2098"/>
      <c r="AD892" s="2098"/>
      <c r="AE892" s="2098"/>
      <c r="AF892" s="2098"/>
      <c r="AG892" s="2098"/>
      <c r="AH892" s="209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1951"/>
      <c r="AA896" s="1952"/>
      <c r="AB896" s="1952"/>
      <c r="AC896" s="1952"/>
      <c r="AD896" s="1952"/>
      <c r="AE896" s="1953"/>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1951"/>
      <c r="AA897" s="1952"/>
      <c r="AB897" s="1952"/>
      <c r="AC897" s="1952"/>
      <c r="AD897" s="1952"/>
      <c r="AE897" s="195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1951"/>
      <c r="AA898" s="1952"/>
      <c r="AB898" s="1952"/>
      <c r="AC898" s="1952"/>
      <c r="AD898" s="1952"/>
      <c r="AE898" s="195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59">
        <f>Z896-(Z897+Z898)</f>
        <v>0</v>
      </c>
      <c r="AA899" s="2060"/>
      <c r="AB899" s="2060"/>
      <c r="AC899" s="2060"/>
      <c r="AD899" s="2060"/>
      <c r="AE899" s="2061"/>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23"/>
      <c r="BE901" s="222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225"/>
      <c r="BE902" s="2225"/>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24"/>
      <c r="BE903" s="2224"/>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24"/>
      <c r="BE904" s="2224"/>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24"/>
      <c r="BE905" s="2224"/>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23"/>
      <c r="BE906" s="2224"/>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123" t="s">
        <v>101</v>
      </c>
      <c r="B907" s="2123"/>
      <c r="C907" s="2123"/>
      <c r="D907" s="2123"/>
      <c r="E907" s="2123"/>
      <c r="F907" s="2123"/>
      <c r="G907" s="2123"/>
      <c r="H907" s="2123"/>
      <c r="I907" s="2123"/>
      <c r="J907" s="2123"/>
      <c r="K907" s="2123"/>
      <c r="L907" s="2123"/>
      <c r="M907" s="2123"/>
      <c r="N907" s="2123"/>
      <c r="O907" s="2123"/>
      <c r="P907" s="2123"/>
      <c r="Q907" s="2123"/>
      <c r="R907" s="2123"/>
      <c r="S907" s="2123"/>
      <c r="T907" s="2123"/>
      <c r="U907" s="2123"/>
      <c r="V907" s="2123"/>
      <c r="W907" s="2123"/>
      <c r="X907" s="2123"/>
      <c r="Y907" s="2123"/>
      <c r="Z907" s="2123"/>
      <c r="AA907" s="2123"/>
      <c r="AB907" s="2123"/>
      <c r="AC907" s="2123"/>
      <c r="AD907" s="2123"/>
      <c r="AE907" s="2123"/>
      <c r="AF907" s="2123"/>
      <c r="AG907" s="2123"/>
      <c r="AH907" s="2123"/>
      <c r="AI907" s="2123"/>
      <c r="AJ907" s="2123"/>
      <c r="AK907" s="2123"/>
      <c r="AL907" s="2123"/>
      <c r="AM907" s="144"/>
      <c r="AN907" s="144"/>
      <c r="AO907" s="144"/>
      <c r="AP907" s="144"/>
      <c r="AQ907" s="144"/>
      <c r="AR907" s="144"/>
      <c r="AS907" s="144"/>
      <c r="AT907" s="144"/>
      <c r="AU907" s="144"/>
      <c r="AV907" s="144"/>
      <c r="AW907" s="144"/>
      <c r="AX907" s="144"/>
      <c r="AY907" s="144"/>
      <c r="AZ907" s="61"/>
      <c r="BA907" s="25"/>
      <c r="BB907" s="127"/>
      <c r="BC907" s="1609"/>
      <c r="BD907" s="2256"/>
      <c r="BE907" s="2256"/>
      <c r="BF907" s="225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124"/>
      <c r="B908" s="2124"/>
      <c r="C908" s="2124"/>
      <c r="D908" s="2124"/>
      <c r="E908" s="2124"/>
      <c r="F908" s="2124"/>
      <c r="G908" s="2124"/>
      <c r="H908" s="2124"/>
      <c r="I908" s="2124"/>
      <c r="J908" s="2124"/>
      <c r="K908" s="2124"/>
      <c r="L908" s="2124"/>
      <c r="M908" s="2124"/>
      <c r="N908" s="2124"/>
      <c r="O908" s="2124"/>
      <c r="P908" s="2124"/>
      <c r="Q908" s="2124"/>
      <c r="R908" s="2124"/>
      <c r="S908" s="2124"/>
      <c r="T908" s="2124"/>
      <c r="U908" s="2124"/>
      <c r="V908" s="2124"/>
      <c r="W908" s="2124"/>
      <c r="X908" s="2124"/>
      <c r="Y908" s="2124"/>
      <c r="Z908" s="2124"/>
      <c r="AA908" s="2124"/>
      <c r="AB908" s="2124"/>
      <c r="AC908" s="2124"/>
      <c r="AD908" s="2124"/>
      <c r="AE908" s="2124"/>
      <c r="AF908" s="2124"/>
      <c r="AG908" s="2124"/>
      <c r="AH908" s="2124"/>
      <c r="AI908" s="2124"/>
      <c r="AJ908" s="2124"/>
      <c r="AK908" s="2124"/>
      <c r="AL908" s="2124"/>
      <c r="AM908" s="144"/>
      <c r="AN908" s="144"/>
      <c r="AO908" s="144"/>
      <c r="AP908" s="144"/>
      <c r="AQ908" s="144"/>
      <c r="AR908" s="144"/>
      <c r="AS908" s="144"/>
      <c r="AT908" s="144"/>
      <c r="AU908" s="144"/>
      <c r="AV908" s="144"/>
      <c r="AW908" s="144"/>
      <c r="AX908" s="144"/>
      <c r="AY908" s="144"/>
      <c r="AZ908" s="61"/>
      <c r="BA908" s="25"/>
      <c r="BB908" s="127"/>
      <c r="BC908" s="1609"/>
      <c r="BD908" s="2229"/>
      <c r="BE908" s="2229"/>
      <c r="BF908" s="2229"/>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24"/>
      <c r="BE909" s="2224"/>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23"/>
      <c r="BE910" s="2224"/>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94" t="s">
        <v>853</v>
      </c>
      <c r="G912" s="2295"/>
      <c r="H912" s="2295"/>
      <c r="I912" s="2295"/>
      <c r="J912" s="2295"/>
      <c r="K912" s="2295"/>
      <c r="L912" s="2295"/>
      <c r="M912" s="2295"/>
      <c r="N912" s="2295"/>
      <c r="O912" s="2295"/>
      <c r="P912" s="2295"/>
      <c r="Q912" s="2295"/>
      <c r="R912" s="2295"/>
      <c r="S912" s="2295"/>
      <c r="T912" s="2296"/>
      <c r="U912" s="2258" t="s">
        <v>32</v>
      </c>
      <c r="V912" s="2107"/>
      <c r="W912" s="2107"/>
      <c r="X912" s="2107"/>
      <c r="Y912" s="2107"/>
      <c r="Z912" s="2107"/>
      <c r="AA912" s="73"/>
      <c r="AB912" s="161"/>
      <c r="AC912" s="161"/>
      <c r="AD912" s="161"/>
      <c r="AE912" s="161"/>
      <c r="AF912" s="162"/>
      <c r="AZ912" s="61"/>
      <c r="BA912" s="1608"/>
      <c r="BB912" s="127"/>
      <c r="BC912" s="127"/>
      <c r="BD912" s="2223"/>
      <c r="BE912" s="2224"/>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59" t="s">
        <v>882</v>
      </c>
      <c r="G913" s="2260"/>
      <c r="H913" s="2260"/>
      <c r="I913" s="2260"/>
      <c r="J913" s="2260"/>
      <c r="K913" s="2260"/>
      <c r="L913" s="2260"/>
      <c r="M913" s="2260"/>
      <c r="N913" s="2260"/>
      <c r="O913" s="2260"/>
      <c r="P913" s="2260"/>
      <c r="Q913" s="2260"/>
      <c r="R913" s="2260"/>
      <c r="S913" s="2260"/>
      <c r="T913" s="2279"/>
      <c r="U913" s="2259"/>
      <c r="V913" s="2260"/>
      <c r="W913" s="2260"/>
      <c r="X913" s="2260"/>
      <c r="Y913" s="2260"/>
      <c r="Z913" s="2260"/>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61"/>
      <c r="G914" s="2262"/>
      <c r="H914" s="2262"/>
      <c r="I914" s="2262"/>
      <c r="J914" s="2262"/>
      <c r="K914" s="2262"/>
      <c r="L914" s="2262"/>
      <c r="M914" s="2262"/>
      <c r="N914" s="2262"/>
      <c r="O914" s="2262"/>
      <c r="P914" s="2262"/>
      <c r="Q914" s="2262"/>
      <c r="R914" s="2262"/>
      <c r="S914" s="2262"/>
      <c r="T914" s="2280"/>
      <c r="U914" s="2261"/>
      <c r="V914" s="2262"/>
      <c r="W914" s="2262"/>
      <c r="X914" s="2262"/>
      <c r="Y914" s="2262"/>
      <c r="Z914" s="2262"/>
      <c r="AA914" s="164"/>
      <c r="AB914" s="2286" t="s">
        <v>412</v>
      </c>
      <c r="AC914" s="2286"/>
      <c r="AD914" s="2286"/>
      <c r="AE914" s="2286"/>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37" t="s">
        <v>579</v>
      </c>
      <c r="V915" s="1949"/>
      <c r="W915" s="1949"/>
      <c r="X915" s="1949"/>
      <c r="Y915" s="1949"/>
      <c r="Z915" s="1950"/>
      <c r="AA915" s="2235">
        <f>AM564</f>
        <v>33421801</v>
      </c>
      <c r="AB915" s="2026"/>
      <c r="AC915" s="2026"/>
      <c r="AD915" s="2026"/>
      <c r="AE915" s="2026"/>
      <c r="AF915" s="223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37" t="s">
        <v>579</v>
      </c>
      <c r="V916" s="1949"/>
      <c r="W916" s="1949"/>
      <c r="X916" s="1949"/>
      <c r="Y916" s="1949"/>
      <c r="Z916" s="1950"/>
      <c r="AA916" s="2235">
        <f>AM566</f>
        <v>15800000</v>
      </c>
      <c r="AB916" s="2026"/>
      <c r="AC916" s="2026"/>
      <c r="AD916" s="2026"/>
      <c r="AE916" s="2026"/>
      <c r="AF916" s="223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37" t="s">
        <v>627</v>
      </c>
      <c r="V917" s="1949"/>
      <c r="W917" s="1949"/>
      <c r="X917" s="1949"/>
      <c r="Y917" s="1949"/>
      <c r="Z917" s="1950"/>
      <c r="AA917" s="2235"/>
      <c r="AB917" s="2026"/>
      <c r="AC917" s="2026"/>
      <c r="AD917" s="2026"/>
      <c r="AE917" s="2026"/>
      <c r="AF917" s="223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37" t="s">
        <v>627</v>
      </c>
      <c r="V918" s="1949"/>
      <c r="W918" s="1949"/>
      <c r="X918" s="1949"/>
      <c r="Y918" s="1949"/>
      <c r="Z918" s="1950"/>
      <c r="AA918" s="2235"/>
      <c r="AB918" s="2026"/>
      <c r="AC918" s="2026"/>
      <c r="AD918" s="2026"/>
      <c r="AE918" s="2026"/>
      <c r="AF918" s="223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37" t="s">
        <v>627</v>
      </c>
      <c r="V919" s="1949"/>
      <c r="W919" s="1949"/>
      <c r="X919" s="1949"/>
      <c r="Y919" s="1949"/>
      <c r="Z919" s="1950"/>
      <c r="AA919" s="2235"/>
      <c r="AB919" s="2026"/>
      <c r="AC919" s="2026"/>
      <c r="AD919" s="2026"/>
      <c r="AE919" s="2026"/>
      <c r="AF919" s="223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37" t="s">
        <v>627</v>
      </c>
      <c r="V920" s="1949"/>
      <c r="W920" s="1949"/>
      <c r="X920" s="1949"/>
      <c r="Y920" s="1949"/>
      <c r="Z920" s="1950"/>
      <c r="AA920" s="2235"/>
      <c r="AB920" s="2026"/>
      <c r="AC920" s="2026"/>
      <c r="AD920" s="2026"/>
      <c r="AE920" s="2026"/>
      <c r="AF920" s="223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37" t="s">
        <v>627</v>
      </c>
      <c r="V921" s="1949"/>
      <c r="W921" s="1949"/>
      <c r="X921" s="1949"/>
      <c r="Y921" s="1949"/>
      <c r="Z921" s="1950"/>
      <c r="AA921" s="2235"/>
      <c r="AB921" s="2026"/>
      <c r="AC921" s="2026"/>
      <c r="AD921" s="2026"/>
      <c r="AE921" s="2026"/>
      <c r="AF921" s="223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37" t="s">
        <v>627</v>
      </c>
      <c r="V922" s="1949"/>
      <c r="W922" s="1949"/>
      <c r="X922" s="1949"/>
      <c r="Y922" s="1949"/>
      <c r="Z922" s="1950"/>
      <c r="AA922" s="2235"/>
      <c r="AB922" s="2026"/>
      <c r="AC922" s="2026"/>
      <c r="AD922" s="2026"/>
      <c r="AE922" s="2026"/>
      <c r="AF922" s="223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37" t="s">
        <v>627</v>
      </c>
      <c r="V923" s="1949"/>
      <c r="W923" s="1949"/>
      <c r="X923" s="1949"/>
      <c r="Y923" s="1949"/>
      <c r="Z923" s="1950"/>
      <c r="AA923" s="2235"/>
      <c r="AB923" s="2026"/>
      <c r="AC923" s="2026"/>
      <c r="AD923" s="2026"/>
      <c r="AE923" s="2026"/>
      <c r="AF923" s="223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37" t="s">
        <v>627</v>
      </c>
      <c r="V924" s="1949"/>
      <c r="W924" s="1949"/>
      <c r="X924" s="1949"/>
      <c r="Y924" s="1949"/>
      <c r="Z924" s="1950"/>
      <c r="AA924" s="2235"/>
      <c r="AB924" s="2026"/>
      <c r="AC924" s="2026"/>
      <c r="AD924" s="2026"/>
      <c r="AE924" s="2026"/>
      <c r="AF924" s="223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237" t="s">
        <v>627</v>
      </c>
      <c r="V925" s="1949"/>
      <c r="W925" s="1949"/>
      <c r="X925" s="1949"/>
      <c r="Y925" s="1949"/>
      <c r="Z925" s="1950"/>
      <c r="AA925" s="2235"/>
      <c r="AB925" s="2026"/>
      <c r="AC925" s="2026"/>
      <c r="AD925" s="2026"/>
      <c r="AE925" s="2026"/>
      <c r="AF925" s="223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37" t="s">
        <v>627</v>
      </c>
      <c r="V926" s="1949"/>
      <c r="W926" s="1949"/>
      <c r="X926" s="1949"/>
      <c r="Y926" s="1949"/>
      <c r="Z926" s="1950"/>
      <c r="AA926" s="2235"/>
      <c r="AB926" s="2026"/>
      <c r="AC926" s="2026"/>
      <c r="AD926" s="2026"/>
      <c r="AE926" s="2026"/>
      <c r="AF926" s="223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37" t="s">
        <v>627</v>
      </c>
      <c r="V927" s="1949"/>
      <c r="W927" s="1949"/>
      <c r="X927" s="1949"/>
      <c r="Y927" s="1949"/>
      <c r="Z927" s="1950"/>
      <c r="AA927" s="2235"/>
      <c r="AB927" s="2026"/>
      <c r="AC927" s="2026"/>
      <c r="AD927" s="2026"/>
      <c r="AE927" s="2026"/>
      <c r="AF927" s="223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237" t="s">
        <v>627</v>
      </c>
      <c r="V928" s="1949"/>
      <c r="W928" s="1949"/>
      <c r="X928" s="1949"/>
      <c r="Y928" s="1949"/>
      <c r="Z928" s="1950"/>
      <c r="AA928" s="2235"/>
      <c r="AB928" s="2026"/>
      <c r="AC928" s="2026"/>
      <c r="AD928" s="2026"/>
      <c r="AE928" s="2026"/>
      <c r="AF928" s="223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237" t="s">
        <v>627</v>
      </c>
      <c r="V929" s="1949"/>
      <c r="W929" s="1949"/>
      <c r="X929" s="1949"/>
      <c r="Y929" s="1949"/>
      <c r="Z929" s="1950"/>
      <c r="AA929" s="2235"/>
      <c r="AB929" s="2026"/>
      <c r="AC929" s="2026"/>
      <c r="AD929" s="2026"/>
      <c r="AE929" s="2026"/>
      <c r="AF929" s="223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37" t="s">
        <v>707</v>
      </c>
      <c r="Q930" s="1949"/>
      <c r="R930" s="1949"/>
      <c r="S930" s="1949"/>
      <c r="T930" s="1950"/>
      <c r="U930" s="2237" t="s">
        <v>627</v>
      </c>
      <c r="V930" s="1949"/>
      <c r="W930" s="1949"/>
      <c r="X930" s="1949"/>
      <c r="Y930" s="1949"/>
      <c r="Z930" s="1950"/>
      <c r="AA930" s="2235"/>
      <c r="AB930" s="2026"/>
      <c r="AC930" s="2026"/>
      <c r="AD930" s="2026"/>
      <c r="AE930" s="2026"/>
      <c r="AF930" s="223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5" t="s">
        <v>345</v>
      </c>
      <c r="J931" s="2250"/>
      <c r="K931" s="2250"/>
      <c r="L931" s="2250"/>
      <c r="M931" s="2250"/>
      <c r="N931" s="2250"/>
      <c r="O931" s="2250"/>
      <c r="P931" s="2250"/>
      <c r="Q931" s="2250"/>
      <c r="R931" s="2250"/>
      <c r="S931" s="2250"/>
      <c r="T931" s="2251"/>
      <c r="U931" s="2237" t="s">
        <v>579</v>
      </c>
      <c r="V931" s="1949"/>
      <c r="W931" s="1949"/>
      <c r="X931" s="1949"/>
      <c r="Y931" s="1949"/>
      <c r="Z931" s="1950"/>
      <c r="AA931" s="2235"/>
      <c r="AB931" s="2026"/>
      <c r="AC931" s="2026"/>
      <c r="AD931" s="2026"/>
      <c r="AE931" s="2026"/>
      <c r="AF931" s="223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9" t="s">
        <v>2520</v>
      </c>
      <c r="J932" s="2250"/>
      <c r="K932" s="2250"/>
      <c r="L932" s="2250"/>
      <c r="M932" s="2250"/>
      <c r="N932" s="2250"/>
      <c r="O932" s="2250"/>
      <c r="P932" s="2250"/>
      <c r="Q932" s="2250"/>
      <c r="R932" s="2250"/>
      <c r="S932" s="2250"/>
      <c r="T932" s="2251"/>
      <c r="U932" s="2237" t="s">
        <v>627</v>
      </c>
      <c r="V932" s="1949"/>
      <c r="W932" s="1949"/>
      <c r="X932" s="1949"/>
      <c r="Y932" s="1949"/>
      <c r="Z932" s="1950"/>
      <c r="AA932" s="2235">
        <f>AM565</f>
        <v>3200000</v>
      </c>
      <c r="AB932" s="2026"/>
      <c r="AC932" s="2026"/>
      <c r="AD932" s="2026"/>
      <c r="AE932" s="2026"/>
      <c r="AF932" s="223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5" t="s">
        <v>345</v>
      </c>
      <c r="J933" s="2250"/>
      <c r="K933" s="2250"/>
      <c r="L933" s="2250"/>
      <c r="M933" s="2250"/>
      <c r="N933" s="2250"/>
      <c r="O933" s="2250"/>
      <c r="P933" s="2250"/>
      <c r="Q933" s="2250"/>
      <c r="R933" s="2250"/>
      <c r="S933" s="2250"/>
      <c r="T933" s="2251"/>
      <c r="U933" s="2237" t="s">
        <v>627</v>
      </c>
      <c r="V933" s="1949"/>
      <c r="W933" s="1949"/>
      <c r="X933" s="1949"/>
      <c r="Y933" s="1949"/>
      <c r="Z933" s="1950"/>
      <c r="AA933" s="2235"/>
      <c r="AB933" s="2026"/>
      <c r="AC933" s="2026"/>
      <c r="AD933" s="2026"/>
      <c r="AE933" s="2026"/>
      <c r="AF933" s="223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5" t="s">
        <v>345</v>
      </c>
      <c r="J934" s="2250"/>
      <c r="K934" s="2250"/>
      <c r="L934" s="2250"/>
      <c r="M934" s="2250"/>
      <c r="N934" s="2250"/>
      <c r="O934" s="2250"/>
      <c r="P934" s="2250"/>
      <c r="Q934" s="2250"/>
      <c r="R934" s="2250"/>
      <c r="S934" s="2250"/>
      <c r="T934" s="2251"/>
      <c r="U934" s="2237" t="s">
        <v>627</v>
      </c>
      <c r="V934" s="1949"/>
      <c r="W934" s="1949"/>
      <c r="X934" s="1949"/>
      <c r="Y934" s="1949"/>
      <c r="Z934" s="1950"/>
      <c r="AA934" s="2235"/>
      <c r="AB934" s="2026"/>
      <c r="AC934" s="2026"/>
      <c r="AD934" s="2026"/>
      <c r="AE934" s="2026"/>
      <c r="AF934" s="223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0"/>
      <c r="N939" s="2180"/>
      <c r="O939" s="2180"/>
      <c r="P939" s="2180"/>
      <c r="Q939" s="2180"/>
      <c r="R939" s="2180"/>
      <c r="S939" s="2291"/>
      <c r="U939" s="103" t="s">
        <v>11</v>
      </c>
      <c r="V939" s="77"/>
      <c r="W939" s="77"/>
      <c r="X939" s="77"/>
      <c r="Y939" s="77"/>
      <c r="Z939" s="77"/>
      <c r="AA939" s="77"/>
      <c r="AB939" s="77"/>
      <c r="AC939" s="77"/>
      <c r="AD939" s="78"/>
      <c r="AE939" s="2290"/>
      <c r="AF939" s="2180"/>
      <c r="AG939" s="2180"/>
      <c r="AH939" s="2180"/>
      <c r="AI939" s="2180"/>
      <c r="AJ939" s="2180"/>
      <c r="AK939" s="22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38"/>
      <c r="N940" s="2239"/>
      <c r="O940" s="2239"/>
      <c r="P940" s="2239"/>
      <c r="Q940" s="2239"/>
      <c r="R940" s="2239"/>
      <c r="S940" s="2240"/>
      <c r="U940" s="103" t="s">
        <v>12</v>
      </c>
      <c r="V940" s="77"/>
      <c r="W940" s="77"/>
      <c r="X940" s="77"/>
      <c r="Y940" s="77"/>
      <c r="Z940" s="77"/>
      <c r="AA940" s="77"/>
      <c r="AB940" s="77"/>
      <c r="AC940" s="77"/>
      <c r="AD940" s="78"/>
      <c r="AE940" s="2238"/>
      <c r="AF940" s="2239"/>
      <c r="AG940" s="2239"/>
      <c r="AH940" s="2239"/>
      <c r="AI940" s="2239"/>
      <c r="AJ940" s="2239"/>
      <c r="AK940" s="224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246" t="s">
        <v>318</v>
      </c>
      <c r="K941" s="2247"/>
      <c r="L941" s="2247"/>
      <c r="M941" s="2247"/>
      <c r="N941" s="2247"/>
      <c r="O941" s="2247"/>
      <c r="P941" s="2247"/>
      <c r="Q941" s="2247"/>
      <c r="R941" s="2247"/>
      <c r="S941" s="2248"/>
      <c r="U941" s="103" t="s">
        <v>948</v>
      </c>
      <c r="V941" s="77"/>
      <c r="W941" s="77"/>
      <c r="AB941" s="2246" t="s">
        <v>318</v>
      </c>
      <c r="AC941" s="2247"/>
      <c r="AD941" s="2247"/>
      <c r="AE941" s="2247"/>
      <c r="AF941" s="2247"/>
      <c r="AG941" s="2247"/>
      <c r="AH941" s="2247"/>
      <c r="AI941" s="2247"/>
      <c r="AJ941" s="2247"/>
      <c r="AK941" s="224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81"/>
      <c r="N942" s="2282"/>
      <c r="O942" s="2282"/>
      <c r="P942" s="2282"/>
      <c r="Q942" s="2282"/>
      <c r="R942" s="2282"/>
      <c r="S942" s="2283"/>
      <c r="U942" s="103" t="s">
        <v>13</v>
      </c>
      <c r="V942" s="77"/>
      <c r="W942" s="77"/>
      <c r="X942" s="77"/>
      <c r="Y942" s="77"/>
      <c r="Z942" s="77"/>
      <c r="AA942" s="77"/>
      <c r="AB942" s="77"/>
      <c r="AC942" s="77"/>
      <c r="AD942" s="78"/>
      <c r="AE942" s="2387"/>
      <c r="AF942" s="2282"/>
      <c r="AG942" s="2282"/>
      <c r="AH942" s="2282"/>
      <c r="AI942" s="2282"/>
      <c r="AJ942" s="2282"/>
      <c r="AK942" s="228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3"/>
      <c r="N943" s="2244"/>
      <c r="O943" s="2244"/>
      <c r="P943" s="2244"/>
      <c r="Q943" s="2244"/>
      <c r="R943" s="2244"/>
      <c r="S943" s="2245"/>
      <c r="U943" s="103" t="s">
        <v>14</v>
      </c>
      <c r="V943" s="77"/>
      <c r="W943" s="77"/>
      <c r="X943" s="77"/>
      <c r="Y943" s="77"/>
      <c r="Z943" s="77"/>
      <c r="AA943" s="77"/>
      <c r="AB943" s="77"/>
      <c r="AC943" s="77"/>
      <c r="AD943" s="78"/>
      <c r="AE943" s="2243"/>
      <c r="AF943" s="2244"/>
      <c r="AG943" s="2244"/>
      <c r="AH943" s="2244"/>
      <c r="AI943" s="2244"/>
      <c r="AJ943" s="2244"/>
      <c r="AK943" s="224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5"/>
      <c r="N944" s="2026"/>
      <c r="O944" s="2026"/>
      <c r="P944" s="2026"/>
      <c r="Q944" s="2026"/>
      <c r="R944" s="2026"/>
      <c r="S944" s="2236"/>
      <c r="U944" s="103" t="s">
        <v>15</v>
      </c>
      <c r="V944" s="77"/>
      <c r="W944" s="77"/>
      <c r="X944" s="77"/>
      <c r="Y944" s="77"/>
      <c r="Z944" s="77"/>
      <c r="AA944" s="77"/>
      <c r="AB944" s="77"/>
      <c r="AC944" s="77"/>
      <c r="AD944" s="78"/>
      <c r="AE944" s="2235"/>
      <c r="AF944" s="2026"/>
      <c r="AG944" s="2026"/>
      <c r="AH944" s="2026"/>
      <c r="AI944" s="2026"/>
      <c r="AJ944" s="2026"/>
      <c r="AK944" s="223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5"/>
      <c r="N945" s="2026"/>
      <c r="O945" s="2026"/>
      <c r="P945" s="2026"/>
      <c r="Q945" s="2026"/>
      <c r="R945" s="2026"/>
      <c r="S945" s="2236"/>
      <c r="U945" s="103" t="s">
        <v>16</v>
      </c>
      <c r="V945" s="77"/>
      <c r="W945" s="77"/>
      <c r="X945" s="77"/>
      <c r="Y945" s="77"/>
      <c r="Z945" s="77"/>
      <c r="AA945" s="77"/>
      <c r="AB945" s="77"/>
      <c r="AC945" s="77"/>
      <c r="AD945" s="78"/>
      <c r="AE945" s="2235"/>
      <c r="AF945" s="2026"/>
      <c r="AG945" s="2026"/>
      <c r="AH945" s="2026"/>
      <c r="AI945" s="2026"/>
      <c r="AJ945" s="2026"/>
      <c r="AK945" s="223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232"/>
      <c r="N946" s="2233"/>
      <c r="O946" s="2233"/>
      <c r="P946" s="2233"/>
      <c r="Q946" s="2233"/>
      <c r="R946" s="2233"/>
      <c r="S946" s="2234"/>
      <c r="U946" s="103" t="s">
        <v>606</v>
      </c>
      <c r="V946" s="77"/>
      <c r="W946" s="77"/>
      <c r="X946" s="77"/>
      <c r="Y946" s="77"/>
      <c r="Z946" s="77"/>
      <c r="AA946" s="77"/>
      <c r="AB946" s="77"/>
      <c r="AC946" s="77"/>
      <c r="AD946" s="78"/>
      <c r="AE946" s="2232"/>
      <c r="AF946" s="2233"/>
      <c r="AG946" s="2233"/>
      <c r="AH946" s="2233"/>
      <c r="AI946" s="2233"/>
      <c r="AJ946" s="2233"/>
      <c r="AK946" s="223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30"/>
      <c r="N951" s="2179"/>
      <c r="O951" s="2179"/>
      <c r="P951" s="2179"/>
      <c r="Q951" s="2179"/>
      <c r="R951" s="2179"/>
      <c r="S951" s="2231"/>
      <c r="T951" s="103" t="s">
        <v>851</v>
      </c>
      <c r="U951" s="77"/>
      <c r="V951" s="77"/>
      <c r="W951" s="77"/>
      <c r="X951" s="77"/>
      <c r="Y951" s="77"/>
      <c r="Z951" s="78"/>
      <c r="AA951" s="2230"/>
      <c r="AB951" s="2179"/>
      <c r="AC951" s="2179"/>
      <c r="AD951" s="2179"/>
      <c r="AE951" s="2179"/>
      <c r="AF951" s="2179"/>
      <c r="AG951" s="223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30"/>
      <c r="N952" s="2179"/>
      <c r="O952" s="2179"/>
      <c r="P952" s="2179"/>
      <c r="Q952" s="2179"/>
      <c r="R952" s="2179"/>
      <c r="S952" s="2231"/>
      <c r="T952" s="103" t="s">
        <v>850</v>
      </c>
      <c r="U952" s="77"/>
      <c r="V952" s="77"/>
      <c r="W952" s="77"/>
      <c r="X952" s="77"/>
      <c r="Y952" s="77"/>
      <c r="Z952" s="78"/>
      <c r="AA952" s="2230"/>
      <c r="AB952" s="2179"/>
      <c r="AC952" s="2179"/>
      <c r="AD952" s="2179"/>
      <c r="AE952" s="2179"/>
      <c r="AF952" s="2179"/>
      <c r="AG952" s="223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89" t="s">
        <v>627</v>
      </c>
      <c r="N953" s="2390"/>
      <c r="O953" s="2390"/>
      <c r="P953" s="2390"/>
      <c r="Q953" s="2390"/>
      <c r="R953" s="2390"/>
      <c r="S953" s="2391"/>
      <c r="T953" s="76" t="s">
        <v>348</v>
      </c>
      <c r="U953" s="77"/>
      <c r="V953" s="77"/>
      <c r="W953" s="77"/>
      <c r="X953" s="77"/>
      <c r="Y953" s="77"/>
      <c r="Z953" s="78"/>
      <c r="AA953" s="2230"/>
      <c r="AB953" s="2179"/>
      <c r="AC953" s="2179"/>
      <c r="AD953" s="2179"/>
      <c r="AE953" s="2179"/>
      <c r="AF953" s="2179"/>
      <c r="AG953" s="223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30"/>
      <c r="N954" s="2179"/>
      <c r="O954" s="2179"/>
      <c r="P954" s="2179"/>
      <c r="Q954" s="2179"/>
      <c r="R954" s="2179"/>
      <c r="S954" s="2231"/>
      <c r="T954" s="76" t="s">
        <v>349</v>
      </c>
      <c r="U954" s="77"/>
      <c r="V954" s="77"/>
      <c r="W954" s="77"/>
      <c r="X954" s="77"/>
      <c r="Y954" s="77"/>
      <c r="Z954" s="78"/>
      <c r="AA954" s="2230"/>
      <c r="AB954" s="2179"/>
      <c r="AC954" s="2179"/>
      <c r="AD954" s="2179"/>
      <c r="AE954" s="2179"/>
      <c r="AF954" s="2179"/>
      <c r="AG954" s="223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30"/>
      <c r="N955" s="2179"/>
      <c r="O955" s="2179"/>
      <c r="P955" s="2179"/>
      <c r="Q955" s="2179"/>
      <c r="R955" s="2179"/>
      <c r="S955" s="2231"/>
      <c r="T955" s="76" t="s">
        <v>396</v>
      </c>
      <c r="U955" s="77"/>
      <c r="V955" s="77"/>
      <c r="W955" s="77"/>
      <c r="X955" s="77"/>
      <c r="Y955" s="77"/>
      <c r="Z955" s="78"/>
      <c r="AA955" s="2230"/>
      <c r="AB955" s="2179"/>
      <c r="AC955" s="2179"/>
      <c r="AD955" s="2179"/>
      <c r="AE955" s="2179"/>
      <c r="AF955" s="2179"/>
      <c r="AG955" s="223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62" t="s">
        <v>318</v>
      </c>
      <c r="N956" s="2363"/>
      <c r="O956" s="2363"/>
      <c r="P956" s="2363"/>
      <c r="Q956" s="2363"/>
      <c r="R956" s="2363"/>
      <c r="S956" s="2364"/>
      <c r="T956" s="2252"/>
      <c r="U956" s="2253"/>
      <c r="V956" s="2253"/>
      <c r="W956" s="2253"/>
      <c r="X956" s="2253"/>
      <c r="Y956" s="2253"/>
      <c r="Z956" s="2254"/>
      <c r="AA956" s="2230"/>
      <c r="AB956" s="2179"/>
      <c r="AC956" s="2179"/>
      <c r="AD956" s="2179"/>
      <c r="AE956" s="2179"/>
      <c r="AF956" s="2179"/>
      <c r="AG956" s="223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30"/>
      <c r="N957" s="2179"/>
      <c r="O957" s="2179"/>
      <c r="P957" s="2179"/>
      <c r="Q957" s="2179"/>
      <c r="R957" s="2179"/>
      <c r="S957" s="2231"/>
      <c r="T957" s="2252"/>
      <c r="U957" s="2253"/>
      <c r="V957" s="2253"/>
      <c r="W957" s="2253"/>
      <c r="X957" s="2253"/>
      <c r="Y957" s="2253"/>
      <c r="Z957" s="2254"/>
      <c r="AA957" s="2230"/>
      <c r="AB957" s="2179"/>
      <c r="AC957" s="2179"/>
      <c r="AD957" s="2179"/>
      <c r="AE957" s="2179"/>
      <c r="AF957" s="2179"/>
      <c r="AG957" s="223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052" t="s">
        <v>707</v>
      </c>
      <c r="P958" s="1997"/>
      <c r="Q958" s="139"/>
      <c r="R958" s="139"/>
      <c r="S958" s="140"/>
      <c r="T958" s="71" t="s">
        <v>175</v>
      </c>
      <c r="U958" s="72"/>
      <c r="V958" s="72"/>
      <c r="W958" s="2226" t="s">
        <v>345</v>
      </c>
      <c r="X958" s="2227"/>
      <c r="Y958" s="2227"/>
      <c r="Z958" s="2227"/>
      <c r="AA958" s="2227"/>
      <c r="AB958" s="2227"/>
      <c r="AC958" s="2227"/>
      <c r="AD958" s="2227"/>
      <c r="AE958" s="2227"/>
      <c r="AF958" s="2227"/>
      <c r="AG958" s="222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92" t="s">
        <v>34</v>
      </c>
      <c r="G959" s="2293"/>
      <c r="H959" s="2293"/>
      <c r="I959" s="2293"/>
      <c r="J959" s="2293"/>
      <c r="K959" s="2293"/>
      <c r="L959" s="2293"/>
      <c r="M959" s="2230"/>
      <c r="N959" s="2179"/>
      <c r="O959" s="2179"/>
      <c r="P959" s="2179"/>
      <c r="Q959" s="2179"/>
      <c r="R959" s="2179"/>
      <c r="S959" s="2231"/>
      <c r="T959" s="79"/>
      <c r="U959" s="80"/>
      <c r="V959" s="80"/>
      <c r="W959" s="80"/>
      <c r="X959" s="80"/>
      <c r="Y959" s="80"/>
      <c r="Z959" s="188" t="s">
        <v>139</v>
      </c>
      <c r="AA959" s="2263"/>
      <c r="AB959" s="2264"/>
      <c r="AC959" s="2264"/>
      <c r="AD959" s="2264"/>
      <c r="AE959" s="2264"/>
      <c r="AF959" s="2264"/>
      <c r="AG959" s="226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388" t="s">
        <v>582</v>
      </c>
      <c r="B963" s="2388"/>
      <c r="C963" s="2388"/>
      <c r="D963" s="2388"/>
      <c r="E963" s="2388"/>
      <c r="F963" s="2388"/>
      <c r="G963" s="2388"/>
      <c r="H963" s="2388"/>
      <c r="I963" s="2388"/>
      <c r="J963" s="2388"/>
      <c r="K963" s="2388"/>
      <c r="L963" s="2388"/>
      <c r="M963" s="2388"/>
      <c r="N963" s="2388"/>
      <c r="O963" s="2388"/>
      <c r="P963" s="2388"/>
      <c r="Q963" s="2388"/>
      <c r="R963" s="2388"/>
      <c r="S963" s="2388"/>
      <c r="T963" s="2388"/>
      <c r="U963" s="2388"/>
      <c r="V963" s="2388"/>
      <c r="W963" s="2388"/>
      <c r="X963" s="2388"/>
      <c r="Y963" s="2388"/>
      <c r="Z963" s="2388"/>
      <c r="AA963" s="2388"/>
      <c r="AB963" s="2388"/>
      <c r="AC963" s="2388"/>
      <c r="AD963" s="2388"/>
      <c r="AE963" s="2388"/>
      <c r="AF963" s="2388"/>
      <c r="AG963" s="2388"/>
      <c r="AH963" s="2388"/>
      <c r="AI963" s="2388"/>
      <c r="AJ963" s="2388"/>
      <c r="AK963" s="2388"/>
      <c r="AL963" s="2388"/>
      <c r="AM963" s="2388"/>
      <c r="AN963" s="2388"/>
      <c r="AO963" s="2388"/>
      <c r="AP963" s="2388"/>
      <c r="AQ963" s="2388"/>
      <c r="AR963" s="2388"/>
      <c r="AS963" s="238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388"/>
      <c r="B964" s="2388"/>
      <c r="C964" s="2388"/>
      <c r="D964" s="2388"/>
      <c r="E964" s="2388"/>
      <c r="F964" s="2388"/>
      <c r="G964" s="2388"/>
      <c r="H964" s="2388"/>
      <c r="I964" s="2388"/>
      <c r="J964" s="2388"/>
      <c r="K964" s="2388"/>
      <c r="L964" s="2388"/>
      <c r="M964" s="2388"/>
      <c r="N964" s="2388"/>
      <c r="O964" s="2388"/>
      <c r="P964" s="2388"/>
      <c r="Q964" s="2388"/>
      <c r="R964" s="2388"/>
      <c r="S964" s="2388"/>
      <c r="T964" s="2388"/>
      <c r="U964" s="2388"/>
      <c r="V964" s="2388"/>
      <c r="W964" s="2388"/>
      <c r="X964" s="2388"/>
      <c r="Y964" s="2388"/>
      <c r="Z964" s="2388"/>
      <c r="AA964" s="2388"/>
      <c r="AB964" s="2388"/>
      <c r="AC964" s="2388"/>
      <c r="AD964" s="2388"/>
      <c r="AE964" s="2388"/>
      <c r="AF964" s="2388"/>
      <c r="AG964" s="2388"/>
      <c r="AH964" s="2388"/>
      <c r="AI964" s="2388"/>
      <c r="AJ964" s="2388"/>
      <c r="AK964" s="2388"/>
      <c r="AL964" s="2388"/>
      <c r="AM964" s="2388"/>
      <c r="AN964" s="2388"/>
      <c r="AO964" s="2388"/>
      <c r="AP964" s="2388"/>
      <c r="AQ964" s="2388"/>
      <c r="AR964" s="2388"/>
      <c r="AS964" s="238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57"/>
      <c r="BH965" s="2257"/>
      <c r="BI965" s="2257"/>
      <c r="BJ965" s="2257"/>
      <c r="BK965" s="2257"/>
      <c r="BL965" s="2257"/>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8"/>
      <c r="D968" s="2455" t="s">
        <v>674</v>
      </c>
      <c r="E968" s="2456"/>
      <c r="F968" s="2456"/>
      <c r="G968" s="2456"/>
      <c r="H968" s="2456"/>
      <c r="I968" s="2456"/>
      <c r="J968" s="2456"/>
      <c r="K968" s="2456"/>
      <c r="L968" s="2456"/>
      <c r="M968" s="2456"/>
      <c r="N968" s="2456"/>
      <c r="O968" s="2456"/>
      <c r="P968" s="2456"/>
      <c r="Q968" s="2457"/>
      <c r="R968" s="2455" t="s">
        <v>675</v>
      </c>
      <c r="S968" s="2456"/>
      <c r="T968" s="2456"/>
      <c r="U968" s="2456"/>
      <c r="V968" s="2456"/>
      <c r="W968" s="2456"/>
      <c r="X968" s="2456"/>
      <c r="Y968" s="2456"/>
      <c r="Z968" s="2456"/>
      <c r="AA968" s="2457"/>
      <c r="AB968" s="2455" t="s">
        <v>676</v>
      </c>
      <c r="AC968" s="2456"/>
      <c r="AD968" s="2456"/>
      <c r="AE968" s="2456"/>
      <c r="AF968" s="2456"/>
      <c r="AG968" s="2456"/>
      <c r="AH968" s="2456"/>
      <c r="AI968" s="2457"/>
      <c r="AJ968" s="2455" t="s">
        <v>677</v>
      </c>
      <c r="AK968" s="2456"/>
      <c r="AL968" s="2456"/>
      <c r="AM968" s="2456"/>
      <c r="AN968" s="2456"/>
      <c r="AO968" s="2456"/>
      <c r="AP968" s="2456"/>
      <c r="AQ968" s="245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2">
      <c r="B969" s="110"/>
      <c r="C969" s="1629"/>
      <c r="D969" s="2336" t="s">
        <v>669</v>
      </c>
      <c r="E969" s="2337"/>
      <c r="F969" s="2337"/>
      <c r="G969" s="2337"/>
      <c r="H969" s="2337"/>
      <c r="I969" s="2337"/>
      <c r="J969" s="2337"/>
      <c r="K969" s="2337"/>
      <c r="L969" s="2337"/>
      <c r="M969" s="2337"/>
      <c r="N969" s="2337"/>
      <c r="O969" s="2337"/>
      <c r="P969" s="2337"/>
      <c r="Q969" s="2338"/>
      <c r="R969" s="2494">
        <f>IF(ISNA(IF($BN$799="4%",(INDEX($BP$809:$BT$866,MATCH($CB$799,$BO$809:$BO$866,0),MATCH(D969,$BP$808:$BT$808,0))),(INDEX($BW$809:$CA$866,MATCH($CB$799,$BV$809:$BV$866,0),MATCH(D969,$BW$808:$CA$808,0))))),0,IF($BN$799="4%",(INDEX($BP$809:$BT$866,MATCH($CB$799,$BO$809:$BO$866,0),MATCH(D969,$BP$808:$BT$808,0))),(INDEX($BW$809:$CA$866,MATCH($CB$799,$BV$809:$BV$866,0),MATCH(D969,$BW$808:$CA$808,0)))))</f>
        <v>299104</v>
      </c>
      <c r="S969" s="2494"/>
      <c r="T969" s="2494"/>
      <c r="U969" s="2494"/>
      <c r="V969" s="2494"/>
      <c r="W969" s="2494"/>
      <c r="X969" s="2494"/>
      <c r="Y969" s="2494"/>
      <c r="Z969" s="2494"/>
      <c r="AA969" s="2494"/>
      <c r="AB969" s="2491">
        <f>BN663</f>
        <v>0</v>
      </c>
      <c r="AC969" s="2492"/>
      <c r="AD969" s="2492"/>
      <c r="AE969" s="2492"/>
      <c r="AF969" s="2492"/>
      <c r="AG969" s="2492"/>
      <c r="AH969" s="2492"/>
      <c r="AI969" s="2493"/>
      <c r="AJ969" s="2343">
        <f>IF(ISERROR((R969*AB969)),0,(R969*AB969))</f>
        <v>0</v>
      </c>
      <c r="AK969" s="2344"/>
      <c r="AL969" s="2344"/>
      <c r="AM969" s="2344"/>
      <c r="AN969" s="2344"/>
      <c r="AO969" s="2344"/>
      <c r="AP969" s="2344"/>
      <c r="AQ969" s="234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2">
      <c r="B970" s="110"/>
      <c r="C970" s="1630"/>
      <c r="D970" s="2336" t="s">
        <v>336</v>
      </c>
      <c r="E970" s="2337"/>
      <c r="F970" s="2337"/>
      <c r="G970" s="2337"/>
      <c r="H970" s="2337"/>
      <c r="I970" s="2337"/>
      <c r="J970" s="2337"/>
      <c r="K970" s="2337"/>
      <c r="L970" s="2337"/>
      <c r="M970" s="2337"/>
      <c r="N970" s="2337"/>
      <c r="O970" s="2337"/>
      <c r="P970" s="2337"/>
      <c r="Q970" s="2338"/>
      <c r="R970" s="2494">
        <f>IF(ISNA(IF($BN$799="4%",(INDEX($BP$809:$BT$866,MATCH($CB$799,$BO$809:$BO$866,0),MATCH(D970,$BP$808:$BT$808,0))),(INDEX($BW$809:$CA$866,MATCH($CB$799,$BV$809:$BV$866,0),MATCH(D970,$BW$808:$CA$808,0))))),0,IF($BN$799="4%",(INDEX($BP$809:$BT$866,MATCH($CB$799,$BO$809:$BO$866,0),MATCH(D970,$BP$808:$BT$808,0))),(INDEX($BW$809:$CA$866,MATCH($CB$799,$BV$809:$BV$866,0),MATCH(D970,$BW$808:$CA$808,0)))))</f>
        <v>344864</v>
      </c>
      <c r="S970" s="2494"/>
      <c r="T970" s="2494"/>
      <c r="U970" s="2494"/>
      <c r="V970" s="2494"/>
      <c r="W970" s="2494"/>
      <c r="X970" s="2494"/>
      <c r="Y970" s="2494"/>
      <c r="Z970" s="2494"/>
      <c r="AA970" s="2494"/>
      <c r="AB970" s="2491">
        <f>BS663</f>
        <v>0</v>
      </c>
      <c r="AC970" s="2492"/>
      <c r="AD970" s="2492"/>
      <c r="AE970" s="2492"/>
      <c r="AF970" s="2492"/>
      <c r="AG970" s="2492"/>
      <c r="AH970" s="2492"/>
      <c r="AI970" s="2493"/>
      <c r="AJ970" s="2343">
        <f>IF(ISERROR((R970*AB970)),0,(R970*AB970))</f>
        <v>0</v>
      </c>
      <c r="AK970" s="2344"/>
      <c r="AL970" s="2344"/>
      <c r="AM970" s="2344"/>
      <c r="AN970" s="2344"/>
      <c r="AO970" s="2344"/>
      <c r="AP970" s="2344"/>
      <c r="AQ970" s="234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36" t="s">
        <v>168</v>
      </c>
      <c r="E971" s="2337"/>
      <c r="F971" s="2337"/>
      <c r="G971" s="2337"/>
      <c r="H971" s="2337"/>
      <c r="I971" s="2337"/>
      <c r="J971" s="2337"/>
      <c r="K971" s="2337"/>
      <c r="L971" s="2337"/>
      <c r="M971" s="2337"/>
      <c r="N971" s="2337"/>
      <c r="O971" s="2337"/>
      <c r="P971" s="2337"/>
      <c r="Q971" s="2338"/>
      <c r="R971" s="2494">
        <f>IF(ISNA(IF($BN$799="4%",(INDEX($BP$809:$BT$866,MATCH($CB$799,$BO$809:$BO$866,0),MATCH(D971,$BP$808:$BT$808,0))),(INDEX($BW$809:$CA$866,MATCH($CB$799,$BV$809:$BV$866,0),MATCH(D971,$BW$808:$CA$808,0))))),0,IF($BN$799="4%",(INDEX($BP$809:$BT$866,MATCH($CB$799,$BO$809:$BO$866,0),MATCH(D971,$BP$808:$BT$808,0))),(INDEX($BW$809:$CA$866,MATCH($CB$799,$BV$809:$BV$866,0),MATCH(D971,$BW$808:$CA$808,0)))))</f>
        <v>416000</v>
      </c>
      <c r="S971" s="2494"/>
      <c r="T971" s="2494"/>
      <c r="U971" s="2494"/>
      <c r="V971" s="2494"/>
      <c r="W971" s="2494"/>
      <c r="X971" s="2494"/>
      <c r="Y971" s="2494"/>
      <c r="Z971" s="2494"/>
      <c r="AA971" s="2494"/>
      <c r="AB971" s="2491">
        <f>BX663</f>
        <v>6</v>
      </c>
      <c r="AC971" s="2492"/>
      <c r="AD971" s="2492"/>
      <c r="AE971" s="2492"/>
      <c r="AF971" s="2492"/>
      <c r="AG971" s="2492"/>
      <c r="AH971" s="2492"/>
      <c r="AI971" s="2493"/>
      <c r="AJ971" s="2343">
        <f>IF(ISERROR((R971*AB971)),0,(R971*AB971))</f>
        <v>2496000</v>
      </c>
      <c r="AK971" s="2344"/>
      <c r="AL971" s="2344"/>
      <c r="AM971" s="2344"/>
      <c r="AN971" s="2344"/>
      <c r="AO971" s="2344"/>
      <c r="AP971" s="2344"/>
      <c r="AQ971" s="234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2">
      <c r="B972" s="110"/>
      <c r="C972" s="1630"/>
      <c r="D972" s="2336" t="s">
        <v>169</v>
      </c>
      <c r="E972" s="2337"/>
      <c r="F972" s="2337"/>
      <c r="G972" s="2337"/>
      <c r="H972" s="2337"/>
      <c r="I972" s="2337"/>
      <c r="J972" s="2337"/>
      <c r="K972" s="2337"/>
      <c r="L972" s="2337"/>
      <c r="M972" s="2337"/>
      <c r="N972" s="2337"/>
      <c r="O972" s="2337"/>
      <c r="P972" s="2337"/>
      <c r="Q972" s="2338"/>
      <c r="R972" s="2494">
        <f>IF(ISNA(IF($BN$799="4%",(INDEX($BP$809:$BT$866,MATCH($CB$799,$BO$809:$BO$866,0),MATCH(D972,$BP$808:$BT$808,0))),(INDEX($BW$809:$CA$866,MATCH($CB$799,$BV$809:$BV$866,0),MATCH(D972,$BW$808:$CA$808,0))))),0,IF($BN$799="4%",(INDEX($BP$809:$BT$866,MATCH($CB$799,$BO$809:$BO$866,0),MATCH(D972,$BP$808:$BT$808,0))),(INDEX($BW$809:$CA$866,MATCH($CB$799,$BV$809:$BV$866,0),MATCH(D972,$BW$808:$CA$808,0)))))</f>
        <v>532480</v>
      </c>
      <c r="S972" s="2494"/>
      <c r="T972" s="2494"/>
      <c r="U972" s="2494"/>
      <c r="V972" s="2494"/>
      <c r="W972" s="2494"/>
      <c r="X972" s="2494"/>
      <c r="Y972" s="2494"/>
      <c r="Z972" s="2494"/>
      <c r="AA972" s="2494"/>
      <c r="AB972" s="2491">
        <f>CC663</f>
        <v>128</v>
      </c>
      <c r="AC972" s="2492"/>
      <c r="AD972" s="2492"/>
      <c r="AE972" s="2492"/>
      <c r="AF972" s="2492"/>
      <c r="AG972" s="2492"/>
      <c r="AH972" s="2492"/>
      <c r="AI972" s="2493"/>
      <c r="AJ972" s="2343">
        <f>IF(ISERROR((R972*AB972)),0,(R972*AB972))</f>
        <v>68157440</v>
      </c>
      <c r="AK972" s="2344"/>
      <c r="AL972" s="2344"/>
      <c r="AM972" s="2344"/>
      <c r="AN972" s="2344"/>
      <c r="AO972" s="2344"/>
      <c r="AP972" s="2344"/>
      <c r="AQ972" s="234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36" t="s">
        <v>494</v>
      </c>
      <c r="E973" s="2337"/>
      <c r="F973" s="2337"/>
      <c r="G973" s="2337"/>
      <c r="H973" s="2337"/>
      <c r="I973" s="2337"/>
      <c r="J973" s="2337"/>
      <c r="K973" s="2337"/>
      <c r="L973" s="2337"/>
      <c r="M973" s="2337"/>
      <c r="N973" s="2337"/>
      <c r="O973" s="2337"/>
      <c r="P973" s="2337"/>
      <c r="Q973" s="2338"/>
      <c r="R973" s="2494">
        <f>IF(ISNA(IF($BN$799="4%",(INDEX($BP$809:$BT$866,MATCH($CB$799,$BO$809:$BO$866,0),MATCH(D973,$BP$808:$BT$808,0))),(INDEX($BW$809:$CA$866,MATCH($CB$799,$BV$809:$BV$866,0),MATCH(D973,$BW$808:$CA$808,0))))),0,IF($BN$799="4%",(INDEX($BP$809:$BT$866,MATCH($CB$799,$BO$809:$BO$866,0),MATCH(D973,$BP$808:$BT$808,0))),(INDEX($BW$809:$CA$866,MATCH($CB$799,$BV$809:$BV$866,0),MATCH(D973,$BW$808:$CA$808,0)))))</f>
        <v>593216</v>
      </c>
      <c r="S973" s="2494"/>
      <c r="T973" s="2494"/>
      <c r="U973" s="2494"/>
      <c r="V973" s="2494"/>
      <c r="W973" s="2494"/>
      <c r="X973" s="2494"/>
      <c r="Y973" s="2494"/>
      <c r="Z973" s="2494"/>
      <c r="AA973" s="2494"/>
      <c r="AB973" s="2491">
        <f>CM663+CH663</f>
        <v>0</v>
      </c>
      <c r="AC973" s="2492"/>
      <c r="AD973" s="2492"/>
      <c r="AE973" s="2492"/>
      <c r="AF973" s="2492"/>
      <c r="AG973" s="2492"/>
      <c r="AH973" s="2492"/>
      <c r="AI973" s="2493"/>
      <c r="AJ973" s="2343">
        <f>IF(ISERROR((R973*AB973)),0,(R973*AB973))</f>
        <v>0</v>
      </c>
      <c r="AK973" s="2344"/>
      <c r="AL973" s="2344"/>
      <c r="AM973" s="2344"/>
      <c r="AN973" s="2344"/>
      <c r="AO973" s="2344"/>
      <c r="AP973" s="2344"/>
      <c r="AQ973" s="234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458" t="s">
        <v>852</v>
      </c>
      <c r="C974" s="2459"/>
      <c r="D974" s="2459"/>
      <c r="E974" s="2459"/>
      <c r="F974" s="2459"/>
      <c r="G974" s="2459"/>
      <c r="H974" s="2459"/>
      <c r="I974" s="2459"/>
      <c r="J974" s="2459"/>
      <c r="K974" s="2459"/>
      <c r="L974" s="2459"/>
      <c r="M974" s="2459"/>
      <c r="N974" s="2459"/>
      <c r="O974" s="2459"/>
      <c r="P974" s="2459"/>
      <c r="Q974" s="2459"/>
      <c r="R974" s="2459"/>
      <c r="S974" s="2459"/>
      <c r="T974" s="2459"/>
      <c r="U974" s="2459"/>
      <c r="V974" s="2459"/>
      <c r="W974" s="2459"/>
      <c r="X974" s="2459"/>
      <c r="Y974" s="2459"/>
      <c r="Z974" s="2459"/>
      <c r="AA974" s="2460"/>
      <c r="AB974" s="2491">
        <f>SUM(AB969:AI973)</f>
        <v>134</v>
      </c>
      <c r="AC974" s="2492"/>
      <c r="AD974" s="2492"/>
      <c r="AE974" s="2492"/>
      <c r="AF974" s="2492"/>
      <c r="AG974" s="2492"/>
      <c r="AH974" s="2492"/>
      <c r="AI974" s="2493"/>
      <c r="AJ974" s="2343"/>
      <c r="AK974" s="2344"/>
      <c r="AL974" s="2344"/>
      <c r="AM974" s="2344"/>
      <c r="AN974" s="2344"/>
      <c r="AO974" s="2344"/>
      <c r="AP974" s="2344"/>
      <c r="AQ974" s="234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5" customHeight="1">
      <c r="A975" s="51"/>
      <c r="B975" s="2495" t="s">
        <v>546</v>
      </c>
      <c r="C975" s="2496"/>
      <c r="D975" s="2496"/>
      <c r="E975" s="2496"/>
      <c r="F975" s="2496"/>
      <c r="G975" s="2496"/>
      <c r="H975" s="2496"/>
      <c r="I975" s="2496"/>
      <c r="J975" s="2496"/>
      <c r="K975" s="2496"/>
      <c r="L975" s="2496"/>
      <c r="M975" s="2496"/>
      <c r="N975" s="2496"/>
      <c r="O975" s="2496"/>
      <c r="P975" s="2496"/>
      <c r="Q975" s="2496"/>
      <c r="R975" s="2496"/>
      <c r="S975" s="2496"/>
      <c r="T975" s="2496"/>
      <c r="U975" s="2496"/>
      <c r="V975" s="2496"/>
      <c r="W975" s="2496"/>
      <c r="X975" s="2496"/>
      <c r="Y975" s="2496"/>
      <c r="Z975" s="2496"/>
      <c r="AA975" s="2496"/>
      <c r="AB975" s="2496"/>
      <c r="AC975" s="2496"/>
      <c r="AD975" s="2496"/>
      <c r="AE975" s="2496"/>
      <c r="AF975" s="2496"/>
      <c r="AG975" s="2496"/>
      <c r="AH975" s="2496"/>
      <c r="AI975" s="2497"/>
      <c r="AJ975" s="2343">
        <f>SUM(AJ969:AQ973)</f>
        <v>70653440</v>
      </c>
      <c r="AK975" s="2344"/>
      <c r="AL975" s="2344"/>
      <c r="AM975" s="2344"/>
      <c r="AN975" s="2344"/>
      <c r="AO975" s="2344"/>
      <c r="AP975" s="2344"/>
      <c r="AQ975" s="234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21"/>
      <c r="C976" s="2422"/>
      <c r="D976" s="2422"/>
      <c r="E976" s="2422"/>
      <c r="F976" s="2422"/>
      <c r="G976" s="2422"/>
      <c r="H976" s="2422"/>
      <c r="I976" s="2422"/>
      <c r="J976" s="2422"/>
      <c r="K976" s="2422"/>
      <c r="L976" s="2422"/>
      <c r="M976" s="2422"/>
      <c r="N976" s="2422"/>
      <c r="O976" s="2422"/>
      <c r="P976" s="2422"/>
      <c r="Q976" s="2422"/>
      <c r="R976" s="2422"/>
      <c r="S976" s="2422"/>
      <c r="T976" s="2422"/>
      <c r="U976" s="2422"/>
      <c r="V976" s="2422"/>
      <c r="W976" s="2422"/>
      <c r="X976" s="2422"/>
      <c r="Y976" s="2422"/>
      <c r="Z976" s="2422"/>
      <c r="AA976" s="2422"/>
      <c r="AB976" s="2422"/>
      <c r="AC976" s="2422"/>
      <c r="AD976" s="2422"/>
      <c r="AE976" s="2423"/>
      <c r="AF976" s="2424" t="s">
        <v>704</v>
      </c>
      <c r="AG976" s="2425"/>
      <c r="AH976" s="2425"/>
      <c r="AI976" s="2426"/>
      <c r="AJ976" s="2421"/>
      <c r="AK976" s="2422"/>
      <c r="AL976" s="2422"/>
      <c r="AM976" s="2422"/>
      <c r="AN976" s="2422"/>
      <c r="AO976" s="2422"/>
      <c r="AP976" s="2422"/>
      <c r="AQ976" s="2423"/>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369" t="s">
        <v>1438</v>
      </c>
      <c r="E977" s="2370"/>
      <c r="F977" s="2370"/>
      <c r="G977" s="2370"/>
      <c r="H977" s="2370"/>
      <c r="I977" s="2370"/>
      <c r="J977" s="2370"/>
      <c r="K977" s="2370"/>
      <c r="L977" s="2370"/>
      <c r="M977" s="2370"/>
      <c r="N977" s="2370"/>
      <c r="O977" s="2370"/>
      <c r="P977" s="2370"/>
      <c r="Q977" s="2370"/>
      <c r="R977" s="2370"/>
      <c r="S977" s="2370"/>
      <c r="T977" s="2370"/>
      <c r="U977" s="2370"/>
      <c r="V977" s="2370"/>
      <c r="W977" s="2370"/>
      <c r="X977" s="2370"/>
      <c r="Y977" s="2370"/>
      <c r="Z977" s="2370"/>
      <c r="AA977" s="2370"/>
      <c r="AB977" s="2370"/>
      <c r="AC977" s="2370"/>
      <c r="AD977" s="2370"/>
      <c r="AE977" s="2371"/>
      <c r="AF977" s="117"/>
      <c r="AG977" s="2427" t="s">
        <v>707</v>
      </c>
      <c r="AH977" s="2428"/>
      <c r="AI977" s="125"/>
      <c r="AJ977" s="2435">
        <f>ROUND(IF(AND(AG977="yes",D979&gt;0),AJ975*0.2,0),0)</f>
        <v>0</v>
      </c>
      <c r="AK977" s="2436"/>
      <c r="AL977" s="2436"/>
      <c r="AM977" s="2436"/>
      <c r="AN977" s="2436"/>
      <c r="AO977" s="2436"/>
      <c r="AP977" s="2436"/>
      <c r="AQ977" s="243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461" t="s">
        <v>1439</v>
      </c>
      <c r="E978" s="2462"/>
      <c r="F978" s="2462"/>
      <c r="G978" s="2462"/>
      <c r="H978" s="2462"/>
      <c r="I978" s="2462"/>
      <c r="J978" s="2462"/>
      <c r="K978" s="2462"/>
      <c r="L978" s="2462"/>
      <c r="M978" s="2462"/>
      <c r="N978" s="2462"/>
      <c r="O978" s="2462"/>
      <c r="P978" s="2462"/>
      <c r="Q978" s="2462"/>
      <c r="R978" s="2462"/>
      <c r="S978" s="2462"/>
      <c r="T978" s="2462"/>
      <c r="U978" s="2462"/>
      <c r="V978" s="2462"/>
      <c r="W978" s="2462"/>
      <c r="X978" s="2462"/>
      <c r="Y978" s="2462"/>
      <c r="Z978" s="2462"/>
      <c r="AA978" s="2462"/>
      <c r="AB978" s="2462"/>
      <c r="AC978" s="2462"/>
      <c r="AD978" s="2462"/>
      <c r="AE978" s="2463"/>
      <c r="AF978" s="110"/>
      <c r="AG978" s="112"/>
      <c r="AH978" s="112"/>
      <c r="AI978" s="121"/>
      <c r="AJ978" s="2438"/>
      <c r="AK978" s="2047"/>
      <c r="AL978" s="2047"/>
      <c r="AM978" s="2047"/>
      <c r="AN978" s="2047"/>
      <c r="AO978" s="2047"/>
      <c r="AP978" s="2047"/>
      <c r="AQ978" s="243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5" customHeight="1">
      <c r="A979" s="51"/>
      <c r="B979" s="413"/>
      <c r="C979" s="412"/>
      <c r="D979" s="2464"/>
      <c r="E979" s="2465"/>
      <c r="F979" s="2465"/>
      <c r="G979" s="2465"/>
      <c r="H979" s="2465"/>
      <c r="I979" s="2465"/>
      <c r="J979" s="2465"/>
      <c r="K979" s="2465"/>
      <c r="L979" s="2465"/>
      <c r="M979" s="2465"/>
      <c r="N979" s="2465"/>
      <c r="O979" s="2465"/>
      <c r="P979" s="2465"/>
      <c r="Q979" s="2465"/>
      <c r="R979" s="2465"/>
      <c r="S979" s="2465"/>
      <c r="T979" s="2465"/>
      <c r="U979" s="2465"/>
      <c r="V979" s="2465"/>
      <c r="W979" s="2465"/>
      <c r="X979" s="2465"/>
      <c r="Y979" s="2465"/>
      <c r="Z979" s="2465"/>
      <c r="AA979" s="2465"/>
      <c r="AB979" s="2465"/>
      <c r="AC979" s="2465"/>
      <c r="AD979" s="2465"/>
      <c r="AE979" s="2466"/>
      <c r="AF979" s="115"/>
      <c r="AG979" s="11"/>
      <c r="AH979" s="11"/>
      <c r="AI979" s="116"/>
      <c r="AJ979" s="2440"/>
      <c r="AK979" s="2441"/>
      <c r="AL979" s="2441"/>
      <c r="AM979" s="2441"/>
      <c r="AN979" s="2441"/>
      <c r="AO979" s="2441"/>
      <c r="AP979" s="2441"/>
      <c r="AQ979" s="244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394" t="s">
        <v>1542</v>
      </c>
      <c r="E980" s="2395"/>
      <c r="F980" s="2395"/>
      <c r="G980" s="2395"/>
      <c r="H980" s="2395"/>
      <c r="I980" s="2395"/>
      <c r="J980" s="2395"/>
      <c r="K980" s="2395"/>
      <c r="L980" s="2395"/>
      <c r="M980" s="2395"/>
      <c r="N980" s="2395"/>
      <c r="O980" s="2395"/>
      <c r="P980" s="2395"/>
      <c r="Q980" s="2395"/>
      <c r="R980" s="2395"/>
      <c r="S980" s="2395"/>
      <c r="T980" s="2395"/>
      <c r="U980" s="2395"/>
      <c r="V980" s="2395"/>
      <c r="W980" s="2395"/>
      <c r="X980" s="2395"/>
      <c r="Y980" s="2395"/>
      <c r="Z980" s="2395"/>
      <c r="AA980" s="2395"/>
      <c r="AB980" s="2395"/>
      <c r="AC980" s="2395"/>
      <c r="AD980" s="2395"/>
      <c r="AE980" s="2396"/>
      <c r="AF980" s="117"/>
      <c r="AG980" s="2367" t="s">
        <v>707</v>
      </c>
      <c r="AH980" s="2368"/>
      <c r="AI980" s="125"/>
      <c r="AJ980" s="2435">
        <f>ROUND(IF(AG980="yes",AJ975*0.05,0),0)</f>
        <v>0</v>
      </c>
      <c r="AK980" s="2436"/>
      <c r="AL980" s="2436"/>
      <c r="AM980" s="2436"/>
      <c r="AN980" s="2436"/>
      <c r="AO980" s="2436"/>
      <c r="AP980" s="2436"/>
      <c r="AQ980" s="243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5" customHeight="1">
      <c r="A981" s="51"/>
      <c r="B981" s="413"/>
      <c r="C981" s="120"/>
      <c r="D981" s="2461" t="s">
        <v>1540</v>
      </c>
      <c r="E981" s="2462"/>
      <c r="F981" s="2462"/>
      <c r="G981" s="2462"/>
      <c r="H981" s="2462"/>
      <c r="I981" s="2462"/>
      <c r="J981" s="2462"/>
      <c r="K981" s="2462"/>
      <c r="L981" s="2462"/>
      <c r="M981" s="2462"/>
      <c r="N981" s="2462"/>
      <c r="O981" s="2462"/>
      <c r="P981" s="2462"/>
      <c r="Q981" s="2462"/>
      <c r="R981" s="2462"/>
      <c r="S981" s="2462"/>
      <c r="T981" s="2462"/>
      <c r="U981" s="2462"/>
      <c r="V981" s="2462"/>
      <c r="W981" s="2462"/>
      <c r="X981" s="2462"/>
      <c r="Y981" s="2462"/>
      <c r="Z981" s="2462"/>
      <c r="AA981" s="2462"/>
      <c r="AB981" s="2462"/>
      <c r="AC981" s="2462"/>
      <c r="AD981" s="2462"/>
      <c r="AE981" s="2463"/>
      <c r="AF981" s="110"/>
      <c r="AG981" s="112"/>
      <c r="AH981" s="112"/>
      <c r="AI981" s="121"/>
      <c r="AJ981" s="2438"/>
      <c r="AK981" s="2047"/>
      <c r="AL981" s="2047"/>
      <c r="AM981" s="2047"/>
      <c r="AN981" s="2047"/>
      <c r="AO981" s="2047"/>
      <c r="AP981" s="2047"/>
      <c r="AQ981" s="243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461"/>
      <c r="E982" s="2462"/>
      <c r="F982" s="2462"/>
      <c r="G982" s="2462"/>
      <c r="H982" s="2462"/>
      <c r="I982" s="2462"/>
      <c r="J982" s="2462"/>
      <c r="K982" s="2462"/>
      <c r="L982" s="2462"/>
      <c r="M982" s="2462"/>
      <c r="N982" s="2462"/>
      <c r="O982" s="2462"/>
      <c r="P982" s="2462"/>
      <c r="Q982" s="2462"/>
      <c r="R982" s="2462"/>
      <c r="S982" s="2462"/>
      <c r="T982" s="2462"/>
      <c r="U982" s="2462"/>
      <c r="V982" s="2462"/>
      <c r="W982" s="2462"/>
      <c r="X982" s="2462"/>
      <c r="Y982" s="2462"/>
      <c r="Z982" s="2462"/>
      <c r="AA982" s="2462"/>
      <c r="AB982" s="2462"/>
      <c r="AC982" s="2462"/>
      <c r="AD982" s="2462"/>
      <c r="AE982" s="2463"/>
      <c r="AF982" s="110"/>
      <c r="AG982" s="112"/>
      <c r="AH982" s="112"/>
      <c r="AI982" s="121"/>
      <c r="AJ982" s="2438"/>
      <c r="AK982" s="2047"/>
      <c r="AL982" s="2047"/>
      <c r="AM982" s="2047"/>
      <c r="AN982" s="2047"/>
      <c r="AO982" s="2047"/>
      <c r="AP982" s="2047"/>
      <c r="AQ982" s="243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461"/>
      <c r="E983" s="2462"/>
      <c r="F983" s="2462"/>
      <c r="G983" s="2462"/>
      <c r="H983" s="2462"/>
      <c r="I983" s="2462"/>
      <c r="J983" s="2462"/>
      <c r="K983" s="2462"/>
      <c r="L983" s="2462"/>
      <c r="M983" s="2462"/>
      <c r="N983" s="2462"/>
      <c r="O983" s="2462"/>
      <c r="P983" s="2462"/>
      <c r="Q983" s="2462"/>
      <c r="R983" s="2462"/>
      <c r="S983" s="2462"/>
      <c r="T983" s="2462"/>
      <c r="U983" s="2462"/>
      <c r="V983" s="2462"/>
      <c r="W983" s="2462"/>
      <c r="X983" s="2462"/>
      <c r="Y983" s="2462"/>
      <c r="Z983" s="2462"/>
      <c r="AA983" s="2462"/>
      <c r="AB983" s="2462"/>
      <c r="AC983" s="2462"/>
      <c r="AD983" s="2462"/>
      <c r="AE983" s="2463"/>
      <c r="AF983" s="110"/>
      <c r="AG983" s="112"/>
      <c r="AH983" s="112"/>
      <c r="AI983" s="121"/>
      <c r="AJ983" s="2438"/>
      <c r="AK983" s="2047"/>
      <c r="AL983" s="2047"/>
      <c r="AM983" s="2047"/>
      <c r="AN983" s="2047"/>
      <c r="AO983" s="2047"/>
      <c r="AP983" s="2047"/>
      <c r="AQ983" s="243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461"/>
      <c r="E984" s="2462"/>
      <c r="F984" s="2462"/>
      <c r="G984" s="2462"/>
      <c r="H984" s="2462"/>
      <c r="I984" s="2462"/>
      <c r="J984" s="2462"/>
      <c r="K984" s="2462"/>
      <c r="L984" s="2462"/>
      <c r="M984" s="2462"/>
      <c r="N984" s="2462"/>
      <c r="O984" s="2462"/>
      <c r="P984" s="2462"/>
      <c r="Q984" s="2462"/>
      <c r="R984" s="2462"/>
      <c r="S984" s="2462"/>
      <c r="T984" s="2462"/>
      <c r="U984" s="2462"/>
      <c r="V984" s="2462"/>
      <c r="W984" s="2462"/>
      <c r="X984" s="2462"/>
      <c r="Y984" s="2462"/>
      <c r="Z984" s="2462"/>
      <c r="AA984" s="2462"/>
      <c r="AB984" s="2462"/>
      <c r="AC984" s="2462"/>
      <c r="AD984" s="2462"/>
      <c r="AE984" s="2463"/>
      <c r="AF984" s="110"/>
      <c r="AG984" s="112"/>
      <c r="AH984" s="112"/>
      <c r="AI984" s="121"/>
      <c r="AJ984" s="2438"/>
      <c r="AK984" s="2047"/>
      <c r="AL984" s="2047"/>
      <c r="AM984" s="2047"/>
      <c r="AN984" s="2047"/>
      <c r="AO984" s="2047"/>
      <c r="AP984" s="2047"/>
      <c r="AQ984" s="243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467"/>
      <c r="E985" s="2468"/>
      <c r="F985" s="2468"/>
      <c r="G985" s="2468"/>
      <c r="H985" s="2468"/>
      <c r="I985" s="2468"/>
      <c r="J985" s="2468"/>
      <c r="K985" s="2468"/>
      <c r="L985" s="2468"/>
      <c r="M985" s="2468"/>
      <c r="N985" s="2468"/>
      <c r="O985" s="2468"/>
      <c r="P985" s="2468"/>
      <c r="Q985" s="2468"/>
      <c r="R985" s="2468"/>
      <c r="S985" s="2468"/>
      <c r="T985" s="2468"/>
      <c r="U985" s="2468"/>
      <c r="V985" s="2468"/>
      <c r="W985" s="2468"/>
      <c r="X985" s="2468"/>
      <c r="Y985" s="2468"/>
      <c r="Z985" s="2468"/>
      <c r="AA985" s="2468"/>
      <c r="AB985" s="2468"/>
      <c r="AC985" s="2468"/>
      <c r="AD985" s="2468"/>
      <c r="AE985" s="2469"/>
      <c r="AF985" s="115"/>
      <c r="AG985" s="11"/>
      <c r="AH985" s="11"/>
      <c r="AI985" s="116"/>
      <c r="AJ985" s="2440"/>
      <c r="AK985" s="2441"/>
      <c r="AL985" s="2441"/>
      <c r="AM985" s="2441"/>
      <c r="AN985" s="2441"/>
      <c r="AO985" s="2441"/>
      <c r="AP985" s="2441"/>
      <c r="AQ985" s="244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394" t="s">
        <v>2184</v>
      </c>
      <c r="E986" s="2395"/>
      <c r="F986" s="2395"/>
      <c r="G986" s="2395"/>
      <c r="H986" s="2395"/>
      <c r="I986" s="2395"/>
      <c r="J986" s="2395"/>
      <c r="K986" s="2395"/>
      <c r="L986" s="2395"/>
      <c r="M986" s="2395"/>
      <c r="N986" s="2395"/>
      <c r="O986" s="2395"/>
      <c r="P986" s="2395"/>
      <c r="Q986" s="2395"/>
      <c r="R986" s="2395"/>
      <c r="S986" s="2395"/>
      <c r="T986" s="2395"/>
      <c r="U986" s="2395"/>
      <c r="V986" s="2395"/>
      <c r="W986" s="2395"/>
      <c r="X986" s="2395"/>
      <c r="Y986" s="2395"/>
      <c r="Z986" s="2395"/>
      <c r="AA986" s="2395"/>
      <c r="AB986" s="2395"/>
      <c r="AC986" s="2395"/>
      <c r="AD986" s="2395"/>
      <c r="AE986" s="2396"/>
      <c r="AF986" s="124"/>
      <c r="AG986" s="2367" t="s">
        <v>707</v>
      </c>
      <c r="AH986" s="2368"/>
      <c r="AI986" s="125"/>
      <c r="AJ986" s="2435">
        <f>ROUND(IF(AG986="yes",AJ975*0.1,0),0)</f>
        <v>0</v>
      </c>
      <c r="AK986" s="2436"/>
      <c r="AL986" s="2436"/>
      <c r="AM986" s="2436"/>
      <c r="AN986" s="2436"/>
      <c r="AO986" s="2436"/>
      <c r="AP986" s="2436"/>
      <c r="AQ986" s="243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397" t="s">
        <v>1541</v>
      </c>
      <c r="E987" s="2398"/>
      <c r="F987" s="2398"/>
      <c r="G987" s="2398"/>
      <c r="H987" s="2398"/>
      <c r="I987" s="2398"/>
      <c r="J987" s="2398"/>
      <c r="K987" s="2398"/>
      <c r="L987" s="2398"/>
      <c r="M987" s="2398"/>
      <c r="N987" s="2398"/>
      <c r="O987" s="2398"/>
      <c r="P987" s="2398"/>
      <c r="Q987" s="2398"/>
      <c r="R987" s="2398"/>
      <c r="S987" s="2398"/>
      <c r="T987" s="2398"/>
      <c r="U987" s="2398"/>
      <c r="V987" s="2398"/>
      <c r="W987" s="2398"/>
      <c r="X987" s="2398"/>
      <c r="Y987" s="2398"/>
      <c r="Z987" s="2398"/>
      <c r="AA987" s="2398"/>
      <c r="AB987" s="2398"/>
      <c r="AC987" s="2398"/>
      <c r="AD987" s="2398"/>
      <c r="AE987" s="2399"/>
      <c r="AF987" s="110"/>
      <c r="AG987" s="25"/>
      <c r="AH987" s="25"/>
      <c r="AI987" s="121"/>
      <c r="AJ987" s="2438"/>
      <c r="AK987" s="2047"/>
      <c r="AL987" s="2047"/>
      <c r="AM987" s="2047"/>
      <c r="AN987" s="2047"/>
      <c r="AO987" s="2047"/>
      <c r="AP987" s="2047"/>
      <c r="AQ987" s="2439"/>
      <c r="AR987" s="1585"/>
      <c r="AS987" s="1585"/>
      <c r="AT987" s="1585"/>
      <c r="AU987" s="1585"/>
      <c r="AV987" s="1585"/>
      <c r="AW987" s="1585"/>
      <c r="AX987" s="1585"/>
      <c r="AY987" s="1585"/>
      <c r="AZ987" s="61"/>
      <c r="BA987" s="1614">
        <f>G753+O796</f>
        <v>133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397"/>
      <c r="E988" s="2398"/>
      <c r="F988" s="2398"/>
      <c r="G988" s="2398"/>
      <c r="H988" s="2398"/>
      <c r="I988" s="2398"/>
      <c r="J988" s="2398"/>
      <c r="K988" s="2398"/>
      <c r="L988" s="2398"/>
      <c r="M988" s="2398"/>
      <c r="N988" s="2398"/>
      <c r="O988" s="2398"/>
      <c r="P988" s="2398"/>
      <c r="Q988" s="2398"/>
      <c r="R988" s="2398"/>
      <c r="S988" s="2398"/>
      <c r="T988" s="2398"/>
      <c r="U988" s="2398"/>
      <c r="V988" s="2398"/>
      <c r="W988" s="2398"/>
      <c r="X988" s="2398"/>
      <c r="Y988" s="2398"/>
      <c r="Z988" s="2398"/>
      <c r="AA988" s="2398"/>
      <c r="AB988" s="2398"/>
      <c r="AC988" s="2398"/>
      <c r="AD988" s="2398"/>
      <c r="AE988" s="2399"/>
      <c r="AF988" s="110"/>
      <c r="AG988" s="112"/>
      <c r="AH988" s="112"/>
      <c r="AI988" s="121"/>
      <c r="AJ988" s="2438"/>
      <c r="AK988" s="2047"/>
      <c r="AL988" s="2047"/>
      <c r="AM988" s="2047"/>
      <c r="AN988" s="2047"/>
      <c r="AO988" s="2047"/>
      <c r="AP988" s="2047"/>
      <c r="AQ988" s="243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06"/>
      <c r="E989" s="2407"/>
      <c r="F989" s="2407"/>
      <c r="G989" s="2407"/>
      <c r="H989" s="2407"/>
      <c r="I989" s="2407"/>
      <c r="J989" s="2407"/>
      <c r="K989" s="2407"/>
      <c r="L989" s="2407"/>
      <c r="M989" s="2407"/>
      <c r="N989" s="2407"/>
      <c r="O989" s="2407"/>
      <c r="P989" s="2407"/>
      <c r="Q989" s="2407"/>
      <c r="R989" s="2407"/>
      <c r="S989" s="2407"/>
      <c r="T989" s="2407"/>
      <c r="U989" s="2407"/>
      <c r="V989" s="2407"/>
      <c r="W989" s="2407"/>
      <c r="X989" s="2407"/>
      <c r="Y989" s="2407"/>
      <c r="Z989" s="2407"/>
      <c r="AA989" s="2407"/>
      <c r="AB989" s="2407"/>
      <c r="AC989" s="2407"/>
      <c r="AD989" s="2407"/>
      <c r="AE989" s="2408"/>
      <c r="AF989" s="115"/>
      <c r="AG989" s="11"/>
      <c r="AH989" s="11"/>
      <c r="AI989" s="116"/>
      <c r="AJ989" s="2440"/>
      <c r="AK989" s="2441"/>
      <c r="AL989" s="2441"/>
      <c r="AM989" s="2441"/>
      <c r="AN989" s="2441"/>
      <c r="AO989" s="2441"/>
      <c r="AP989" s="2441"/>
      <c r="AQ989" s="2442"/>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394" t="s">
        <v>1543</v>
      </c>
      <c r="E990" s="2395"/>
      <c r="F990" s="2395"/>
      <c r="G990" s="2395"/>
      <c r="H990" s="2395"/>
      <c r="I990" s="2395"/>
      <c r="J990" s="2395"/>
      <c r="K990" s="2395"/>
      <c r="L990" s="2395"/>
      <c r="M990" s="2395"/>
      <c r="N990" s="2395"/>
      <c r="O990" s="2395"/>
      <c r="P990" s="2395"/>
      <c r="Q990" s="2395"/>
      <c r="R990" s="2395"/>
      <c r="S990" s="2395"/>
      <c r="T990" s="2395"/>
      <c r="U990" s="2395"/>
      <c r="V990" s="2395"/>
      <c r="W990" s="2395"/>
      <c r="X990" s="2395"/>
      <c r="Y990" s="2395"/>
      <c r="Z990" s="2395"/>
      <c r="AA990" s="2395"/>
      <c r="AB990" s="2395"/>
      <c r="AC990" s="2395"/>
      <c r="AD990" s="2395"/>
      <c r="AE990" s="2396"/>
      <c r="AF990" s="117"/>
      <c r="AG990" s="2367" t="s">
        <v>707</v>
      </c>
      <c r="AH990" s="2368"/>
      <c r="AI990" s="125"/>
      <c r="AJ990" s="2435">
        <f>ROUND(IF(AG990="yes",AJ975*0.02,0),0)</f>
        <v>0</v>
      </c>
      <c r="AK990" s="2436"/>
      <c r="AL990" s="2436"/>
      <c r="AM990" s="2436"/>
      <c r="AN990" s="2436"/>
      <c r="AO990" s="2436"/>
      <c r="AP990" s="2436"/>
      <c r="AQ990" s="2437"/>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06" t="s">
        <v>1544</v>
      </c>
      <c r="E991" s="2407"/>
      <c r="F991" s="2407"/>
      <c r="G991" s="2407"/>
      <c r="H991" s="2407"/>
      <c r="I991" s="2407"/>
      <c r="J991" s="2407"/>
      <c r="K991" s="2407"/>
      <c r="L991" s="2407"/>
      <c r="M991" s="2407"/>
      <c r="N991" s="2407"/>
      <c r="O991" s="2407"/>
      <c r="P991" s="2407"/>
      <c r="Q991" s="2407"/>
      <c r="R991" s="2407"/>
      <c r="S991" s="2407"/>
      <c r="T991" s="2407"/>
      <c r="U991" s="2407"/>
      <c r="V991" s="2407"/>
      <c r="W991" s="2407"/>
      <c r="X991" s="2407"/>
      <c r="Y991" s="2407"/>
      <c r="Z991" s="2407"/>
      <c r="AA991" s="2407"/>
      <c r="AB991" s="2407"/>
      <c r="AC991" s="2407"/>
      <c r="AD991" s="2407"/>
      <c r="AE991" s="2408"/>
      <c r="AF991" s="115"/>
      <c r="AG991" s="11"/>
      <c r="AH991" s="11"/>
      <c r="AI991" s="116"/>
      <c r="AJ991" s="2440"/>
      <c r="AK991" s="2441"/>
      <c r="AL991" s="2441"/>
      <c r="AM991" s="2441"/>
      <c r="AN991" s="2441"/>
      <c r="AO991" s="2441"/>
      <c r="AP991" s="2441"/>
      <c r="AQ991" s="244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394" t="s">
        <v>1545</v>
      </c>
      <c r="E992" s="2395"/>
      <c r="F992" s="2395"/>
      <c r="G992" s="2395"/>
      <c r="H992" s="2395"/>
      <c r="I992" s="2395"/>
      <c r="J992" s="2395"/>
      <c r="K992" s="2395"/>
      <c r="L992" s="2395"/>
      <c r="M992" s="2395"/>
      <c r="N992" s="2395"/>
      <c r="O992" s="2395"/>
      <c r="P992" s="2395"/>
      <c r="Q992" s="2395"/>
      <c r="R992" s="2395"/>
      <c r="S992" s="2395"/>
      <c r="T992" s="2395"/>
      <c r="U992" s="2395"/>
      <c r="V992" s="2395"/>
      <c r="W992" s="2395"/>
      <c r="X992" s="2395"/>
      <c r="Y992" s="2395"/>
      <c r="Z992" s="2395"/>
      <c r="AA992" s="2395"/>
      <c r="AB992" s="2395"/>
      <c r="AC992" s="2395"/>
      <c r="AD992" s="2395"/>
      <c r="AE992" s="2396"/>
      <c r="AF992" s="117"/>
      <c r="AG992" s="2367" t="s">
        <v>707</v>
      </c>
      <c r="AH992" s="2368"/>
      <c r="AI992" s="117"/>
      <c r="AJ992" s="2435">
        <f>ROUND(IF(AG992="yes",AJ975*0.02,0),0)</f>
        <v>0</v>
      </c>
      <c r="AK992" s="2436"/>
      <c r="AL992" s="2436"/>
      <c r="AM992" s="2436"/>
      <c r="AN992" s="2436"/>
      <c r="AO992" s="2436"/>
      <c r="AP992" s="2436"/>
      <c r="AQ992" s="243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397" t="s">
        <v>1546</v>
      </c>
      <c r="E993" s="2398"/>
      <c r="F993" s="2398"/>
      <c r="G993" s="2398"/>
      <c r="H993" s="2398"/>
      <c r="I993" s="2398"/>
      <c r="J993" s="2398"/>
      <c r="K993" s="2398"/>
      <c r="L993" s="2398"/>
      <c r="M993" s="2398"/>
      <c r="N993" s="2398"/>
      <c r="O993" s="2398"/>
      <c r="P993" s="2398"/>
      <c r="Q993" s="2398"/>
      <c r="R993" s="2398"/>
      <c r="S993" s="2398"/>
      <c r="T993" s="2398"/>
      <c r="U993" s="2398"/>
      <c r="V993" s="2398"/>
      <c r="W993" s="2398"/>
      <c r="X993" s="2398"/>
      <c r="Y993" s="2398"/>
      <c r="Z993" s="2398"/>
      <c r="AA993" s="2398"/>
      <c r="AB993" s="2398"/>
      <c r="AC993" s="2398"/>
      <c r="AD993" s="2398"/>
      <c r="AE993" s="2399"/>
      <c r="AF993" s="110"/>
      <c r="AG993" s="25"/>
      <c r="AH993" s="25"/>
      <c r="AI993" s="112"/>
      <c r="AJ993" s="2438"/>
      <c r="AK993" s="2047"/>
      <c r="AL993" s="2047"/>
      <c r="AM993" s="2047"/>
      <c r="AN993" s="2047"/>
      <c r="AO993" s="2047"/>
      <c r="AP993" s="2047"/>
      <c r="AQ993" s="243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06"/>
      <c r="E994" s="2407"/>
      <c r="F994" s="2407"/>
      <c r="G994" s="2407"/>
      <c r="H994" s="2407"/>
      <c r="I994" s="2407"/>
      <c r="J994" s="2407"/>
      <c r="K994" s="2407"/>
      <c r="L994" s="2407"/>
      <c r="M994" s="2407"/>
      <c r="N994" s="2407"/>
      <c r="O994" s="2407"/>
      <c r="P994" s="2407"/>
      <c r="Q994" s="2407"/>
      <c r="R994" s="2407"/>
      <c r="S994" s="2407"/>
      <c r="T994" s="2407"/>
      <c r="U994" s="2407"/>
      <c r="V994" s="2407"/>
      <c r="W994" s="2407"/>
      <c r="X994" s="2407"/>
      <c r="Y994" s="2407"/>
      <c r="Z994" s="2407"/>
      <c r="AA994" s="2407"/>
      <c r="AB994" s="2407"/>
      <c r="AC994" s="2407"/>
      <c r="AD994" s="2407"/>
      <c r="AE994" s="2408"/>
      <c r="AF994" s="115"/>
      <c r="AG994" s="11"/>
      <c r="AH994" s="11"/>
      <c r="AI994" s="116"/>
      <c r="AJ994" s="2440"/>
      <c r="AK994" s="2441"/>
      <c r="AL994" s="2441"/>
      <c r="AM994" s="2441"/>
      <c r="AN994" s="2441"/>
      <c r="AO994" s="2441"/>
      <c r="AP994" s="2441"/>
      <c r="AQ994" s="2442"/>
      <c r="AR994" s="1585"/>
      <c r="AS994" s="1585"/>
      <c r="AT994" s="1585"/>
      <c r="AU994" s="1585"/>
      <c r="AV994" s="1585"/>
      <c r="AW994" s="1585"/>
      <c r="AX994" s="1585"/>
      <c r="AY994" s="1585"/>
    </row>
    <row r="995" spans="1:96" s="720" customFormat="1" ht="12.75" customHeight="1">
      <c r="A995" s="51"/>
      <c r="B995" s="117"/>
      <c r="C995" s="118" t="s">
        <v>225</v>
      </c>
      <c r="D995" s="2369" t="s">
        <v>1547</v>
      </c>
      <c r="E995" s="2370"/>
      <c r="F995" s="2370"/>
      <c r="G995" s="2370"/>
      <c r="H995" s="2370"/>
      <c r="I995" s="2370"/>
      <c r="J995" s="2370"/>
      <c r="K995" s="2370"/>
      <c r="L995" s="2370"/>
      <c r="M995" s="2370"/>
      <c r="N995" s="2370"/>
      <c r="O995" s="2370"/>
      <c r="P995" s="2370"/>
      <c r="Q995" s="2370"/>
      <c r="R995" s="2370"/>
      <c r="S995" s="2370"/>
      <c r="T995" s="2370"/>
      <c r="U995" s="2370"/>
      <c r="V995" s="2370"/>
      <c r="W995" s="2370"/>
      <c r="X995" s="2370"/>
      <c r="Y995" s="2370"/>
      <c r="Z995" s="2370"/>
      <c r="AA995" s="2370"/>
      <c r="AB995" s="2370"/>
      <c r="AC995" s="2370"/>
      <c r="AD995" s="2370"/>
      <c r="AE995" s="2371"/>
      <c r="AF995" s="117"/>
      <c r="AG995" s="2367" t="s">
        <v>707</v>
      </c>
      <c r="AH995" s="2368"/>
      <c r="AI995" s="125"/>
      <c r="AJ995" s="2435">
        <f>IF(AG995="yes",AJ975*BA995,0)</f>
        <v>0</v>
      </c>
      <c r="AK995" s="2436"/>
      <c r="AL995" s="2436"/>
      <c r="AM995" s="2436"/>
      <c r="AN995" s="2436"/>
      <c r="AO995" s="2436"/>
      <c r="AP995" s="2436"/>
      <c r="AQ995" s="243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397" t="s">
        <v>1548</v>
      </c>
      <c r="E996" s="2398"/>
      <c r="F996" s="2398"/>
      <c r="G996" s="2398"/>
      <c r="H996" s="2398"/>
      <c r="I996" s="2398"/>
      <c r="J996" s="2398"/>
      <c r="K996" s="2398"/>
      <c r="L996" s="2398"/>
      <c r="M996" s="2398"/>
      <c r="N996" s="2398"/>
      <c r="O996" s="2398"/>
      <c r="P996" s="2398"/>
      <c r="Q996" s="2398"/>
      <c r="R996" s="2398"/>
      <c r="S996" s="2398"/>
      <c r="T996" s="2398"/>
      <c r="U996" s="2398"/>
      <c r="V996" s="2398"/>
      <c r="W996" s="2398"/>
      <c r="X996" s="2398"/>
      <c r="Y996" s="2398"/>
      <c r="Z996" s="2398"/>
      <c r="AA996" s="2398"/>
      <c r="AB996" s="2398"/>
      <c r="AC996" s="2398"/>
      <c r="AD996" s="2398"/>
      <c r="AE996" s="2399"/>
      <c r="AF996" s="110"/>
      <c r="AG996" s="112"/>
      <c r="AH996" s="112"/>
      <c r="AI996" s="121"/>
      <c r="AJ996" s="2438"/>
      <c r="AK996" s="2047"/>
      <c r="AL996" s="2047"/>
      <c r="AM996" s="2047"/>
      <c r="AN996" s="2047"/>
      <c r="AO996" s="2047"/>
      <c r="AP996" s="2047"/>
      <c r="AQ996" s="2439"/>
      <c r="AR996" s="1585"/>
      <c r="AS996" s="1585"/>
      <c r="AT996" s="1585"/>
      <c r="AU996" s="1585"/>
      <c r="AV996" s="1585"/>
      <c r="AW996" s="1585"/>
      <c r="AX996" s="1585"/>
      <c r="AY996" s="1585"/>
    </row>
    <row r="997" spans="1:96" ht="12.75" customHeight="1">
      <c r="A997" s="51"/>
      <c r="B997" s="110"/>
      <c r="C997" s="111"/>
      <c r="D997" s="2397"/>
      <c r="E997" s="2398"/>
      <c r="F997" s="2398"/>
      <c r="G997" s="2398"/>
      <c r="H997" s="2398"/>
      <c r="I997" s="2398"/>
      <c r="J997" s="2398"/>
      <c r="K997" s="2398"/>
      <c r="L997" s="2398"/>
      <c r="M997" s="2398"/>
      <c r="N997" s="2398"/>
      <c r="O997" s="2398"/>
      <c r="P997" s="2398"/>
      <c r="Q997" s="2398"/>
      <c r="R997" s="2398"/>
      <c r="S997" s="2398"/>
      <c r="T997" s="2398"/>
      <c r="U997" s="2398"/>
      <c r="V997" s="2398"/>
      <c r="W997" s="2398"/>
      <c r="X997" s="2398"/>
      <c r="Y997" s="2398"/>
      <c r="Z997" s="2398"/>
      <c r="AA997" s="2398"/>
      <c r="AB997" s="2398"/>
      <c r="AC997" s="2398"/>
      <c r="AD997" s="2398"/>
      <c r="AE997" s="2399"/>
      <c r="AF997" s="110"/>
      <c r="AG997" s="112"/>
      <c r="AH997" s="112"/>
      <c r="AI997" s="121"/>
      <c r="AJ997" s="2438"/>
      <c r="AK997" s="2047"/>
      <c r="AL997" s="2047"/>
      <c r="AM997" s="2047"/>
      <c r="AN997" s="2047"/>
      <c r="AO997" s="2047"/>
      <c r="AP997" s="2047"/>
      <c r="AQ997" s="2439"/>
      <c r="AR997" s="1585"/>
      <c r="AS997" s="1585"/>
      <c r="AT997" s="1585"/>
      <c r="AU997" s="1585"/>
      <c r="AV997" s="1585"/>
      <c r="AW997" s="1585"/>
      <c r="AX997" s="1585"/>
      <c r="AY997" s="1585"/>
      <c r="BA997" s="321">
        <f>IF(A1044="Yes",0.05,0)</f>
        <v>0</v>
      </c>
    </row>
    <row r="998" spans="1:96" ht="15" customHeight="1">
      <c r="A998" s="51"/>
      <c r="B998" s="119"/>
      <c r="C998" s="120"/>
      <c r="D998" s="2406"/>
      <c r="E998" s="2407"/>
      <c r="F998" s="2407"/>
      <c r="G998" s="2407"/>
      <c r="H998" s="2407"/>
      <c r="I998" s="2407"/>
      <c r="J998" s="2407"/>
      <c r="K998" s="2407"/>
      <c r="L998" s="2407"/>
      <c r="M998" s="2407"/>
      <c r="N998" s="2407"/>
      <c r="O998" s="2407"/>
      <c r="P998" s="2407"/>
      <c r="Q998" s="2407"/>
      <c r="R998" s="2407"/>
      <c r="S998" s="2407"/>
      <c r="T998" s="2407"/>
      <c r="U998" s="2407"/>
      <c r="V998" s="2407"/>
      <c r="W998" s="2407"/>
      <c r="X998" s="2407"/>
      <c r="Y998" s="2407"/>
      <c r="Z998" s="2407"/>
      <c r="AA998" s="2407"/>
      <c r="AB998" s="2407"/>
      <c r="AC998" s="2407"/>
      <c r="AD998" s="2407"/>
      <c r="AE998" s="2408"/>
      <c r="AF998" s="115"/>
      <c r="AG998" s="11"/>
      <c r="AH998" s="11"/>
      <c r="AI998" s="116"/>
      <c r="AJ998" s="2440"/>
      <c r="AK998" s="2441"/>
      <c r="AL998" s="2441"/>
      <c r="AM998" s="2441"/>
      <c r="AN998" s="2441"/>
      <c r="AO998" s="2441"/>
      <c r="AP998" s="2441"/>
      <c r="AQ998" s="2442"/>
      <c r="AR998" s="1585"/>
      <c r="AS998" s="1585"/>
      <c r="AT998" s="1585"/>
      <c r="AU998" s="1585"/>
      <c r="AV998" s="1585"/>
      <c r="AW998" s="1585"/>
      <c r="AX998" s="1585"/>
      <c r="AY998" s="1585"/>
      <c r="BA998" s="321">
        <f>IF(A1050="Yes",0.02,0)</f>
        <v>0</v>
      </c>
    </row>
    <row r="999" spans="1:96" s="720" customFormat="1" ht="15" customHeight="1">
      <c r="A999" s="51"/>
      <c r="B999" s="117"/>
      <c r="C999" s="118" t="s">
        <v>230</v>
      </c>
      <c r="D999" s="2482" t="s">
        <v>1549</v>
      </c>
      <c r="E999" s="2483"/>
      <c r="F999" s="2483"/>
      <c r="G999" s="2483"/>
      <c r="H999" s="2483"/>
      <c r="I999" s="2483"/>
      <c r="J999" s="2483"/>
      <c r="K999" s="2483"/>
      <c r="L999" s="2483"/>
      <c r="M999" s="2483"/>
      <c r="N999" s="2483"/>
      <c r="O999" s="2483"/>
      <c r="P999" s="2483"/>
      <c r="Q999" s="2483"/>
      <c r="R999" s="2483"/>
      <c r="S999" s="2483"/>
      <c r="T999" s="2483"/>
      <c r="U999" s="2483"/>
      <c r="V999" s="2483"/>
      <c r="W999" s="2483"/>
      <c r="X999" s="2483"/>
      <c r="Y999" s="2483"/>
      <c r="Z999" s="2483"/>
      <c r="AA999" s="2483"/>
      <c r="AB999" s="2483"/>
      <c r="AC999" s="2483"/>
      <c r="AD999" s="2483"/>
      <c r="AE999" s="2484"/>
      <c r="AF999" s="117"/>
      <c r="AG999" s="2367" t="s">
        <v>707</v>
      </c>
      <c r="AH999" s="2368"/>
      <c r="AI999" s="125"/>
      <c r="AJ999" s="2446"/>
      <c r="AK999" s="2447"/>
      <c r="AL999" s="2447"/>
      <c r="AM999" s="2447"/>
      <c r="AN999" s="2447"/>
      <c r="AO999" s="2447"/>
      <c r="AP999" s="2447"/>
      <c r="AQ999" s="2448"/>
      <c r="AR999" s="1585"/>
      <c r="AS999" s="1585"/>
      <c r="AT999" s="1585"/>
      <c r="AU999" s="1585"/>
      <c r="AV999" s="1585"/>
      <c r="AW999" s="1585"/>
      <c r="AX999" s="1585"/>
      <c r="AY999" s="1585"/>
      <c r="BA999" s="321">
        <f>IF(A1056="Yes",0.04,0)</f>
        <v>0</v>
      </c>
      <c r="CR999" s="25"/>
    </row>
    <row r="1000" spans="1:96" ht="13.2">
      <c r="A1000" s="51"/>
      <c r="B1000" s="119"/>
      <c r="C1000" s="122"/>
      <c r="D1000" s="2485"/>
      <c r="E1000" s="2486"/>
      <c r="F1000" s="2486"/>
      <c r="G1000" s="2486"/>
      <c r="H1000" s="2486"/>
      <c r="I1000" s="2486"/>
      <c r="J1000" s="2486"/>
      <c r="K1000" s="2486"/>
      <c r="L1000" s="2486"/>
      <c r="M1000" s="2486"/>
      <c r="N1000" s="2486"/>
      <c r="O1000" s="2486"/>
      <c r="P1000" s="2486"/>
      <c r="Q1000" s="2486"/>
      <c r="R1000" s="2486"/>
      <c r="S1000" s="2486"/>
      <c r="T1000" s="2486"/>
      <c r="U1000" s="2486"/>
      <c r="V1000" s="2486"/>
      <c r="W1000" s="2486"/>
      <c r="X1000" s="2486"/>
      <c r="Y1000" s="2486"/>
      <c r="Z1000" s="2486"/>
      <c r="AA1000" s="2486"/>
      <c r="AB1000" s="2486"/>
      <c r="AC1000" s="2486"/>
      <c r="AD1000" s="2486"/>
      <c r="AE1000" s="2487"/>
      <c r="AF1000" s="2470">
        <f>IF(AG999="yes","Please Select Type and Enter Amount:",0)</f>
        <v>0</v>
      </c>
      <c r="AG1000" s="2471"/>
      <c r="AH1000" s="2471"/>
      <c r="AI1000" s="2472"/>
      <c r="AJ1000" s="2449"/>
      <c r="AK1000" s="2450"/>
      <c r="AL1000" s="2450"/>
      <c r="AM1000" s="2450"/>
      <c r="AN1000" s="2450"/>
      <c r="AO1000" s="2450"/>
      <c r="AP1000" s="2450"/>
      <c r="AQ1000" s="2451"/>
      <c r="AR1000" s="1585"/>
      <c r="AS1000" s="1585"/>
      <c r="AT1000" s="1585"/>
      <c r="AU1000" s="1585"/>
      <c r="AV1000" s="1585"/>
      <c r="AW1000" s="1585"/>
      <c r="AX1000" s="1585"/>
      <c r="AY1000" s="1585"/>
      <c r="BA1000" s="321">
        <f>IF(A1063="Yes",0.04,0)</f>
        <v>0</v>
      </c>
    </row>
    <row r="1001" spans="1:96" ht="12.75" customHeight="1">
      <c r="A1001" s="51"/>
      <c r="B1001" s="119"/>
      <c r="C1001" s="122"/>
      <c r="D1001" s="2397" t="s">
        <v>1550</v>
      </c>
      <c r="E1001" s="2398"/>
      <c r="F1001" s="2398"/>
      <c r="G1001" s="2398"/>
      <c r="H1001" s="2398"/>
      <c r="I1001" s="2398"/>
      <c r="J1001" s="2398"/>
      <c r="K1001" s="2398"/>
      <c r="L1001" s="2398"/>
      <c r="M1001" s="2398"/>
      <c r="N1001" s="2398"/>
      <c r="O1001" s="2398"/>
      <c r="P1001" s="2398"/>
      <c r="Q1001" s="2398"/>
      <c r="R1001" s="2398"/>
      <c r="S1001" s="2398"/>
      <c r="T1001" s="2398"/>
      <c r="U1001" s="2398"/>
      <c r="V1001" s="2398"/>
      <c r="W1001" s="2398"/>
      <c r="X1001" s="2398"/>
      <c r="Y1001" s="2398"/>
      <c r="Z1001" s="2398"/>
      <c r="AA1001" s="2398"/>
      <c r="AB1001" s="2398"/>
      <c r="AC1001" s="2398"/>
      <c r="AD1001" s="2398"/>
      <c r="AE1001" s="2399"/>
      <c r="AF1001" s="2470"/>
      <c r="AG1001" s="2471"/>
      <c r="AH1001" s="2471"/>
      <c r="AI1001" s="2472"/>
      <c r="AJ1001" s="2449"/>
      <c r="AK1001" s="2450"/>
      <c r="AL1001" s="2450"/>
      <c r="AM1001" s="2450"/>
      <c r="AN1001" s="2450"/>
      <c r="AO1001" s="2450"/>
      <c r="AP1001" s="2450"/>
      <c r="AQ1001" s="2451"/>
      <c r="AR1001" s="1585"/>
      <c r="AS1001" s="1585"/>
      <c r="AT1001" s="1585"/>
      <c r="AU1001" s="1585"/>
      <c r="AV1001" s="1585"/>
      <c r="AW1001" s="1585"/>
      <c r="AX1001" s="1585"/>
      <c r="AY1001" s="1585"/>
      <c r="BA1001" s="321">
        <f>IF(A1066="Yes",0.01,0)</f>
        <v>0</v>
      </c>
    </row>
    <row r="1002" spans="1:96" ht="12.75" customHeight="1">
      <c r="A1002" s="51"/>
      <c r="B1002" s="119"/>
      <c r="C1002" s="122"/>
      <c r="D1002" s="2397"/>
      <c r="E1002" s="2398"/>
      <c r="F1002" s="2398"/>
      <c r="G1002" s="2398"/>
      <c r="H1002" s="2398"/>
      <c r="I1002" s="2398"/>
      <c r="J1002" s="2398"/>
      <c r="K1002" s="2398"/>
      <c r="L1002" s="2398"/>
      <c r="M1002" s="2398"/>
      <c r="N1002" s="2398"/>
      <c r="O1002" s="2398"/>
      <c r="P1002" s="2398"/>
      <c r="Q1002" s="2398"/>
      <c r="R1002" s="2398"/>
      <c r="S1002" s="2398"/>
      <c r="T1002" s="2398"/>
      <c r="U1002" s="2398"/>
      <c r="V1002" s="2398"/>
      <c r="W1002" s="2398"/>
      <c r="X1002" s="2398"/>
      <c r="Y1002" s="2398"/>
      <c r="Z1002" s="2398"/>
      <c r="AA1002" s="2398"/>
      <c r="AB1002" s="2398"/>
      <c r="AC1002" s="2398"/>
      <c r="AD1002" s="2398"/>
      <c r="AE1002" s="2399"/>
      <c r="AF1002" s="2470"/>
      <c r="AG1002" s="2471"/>
      <c r="AH1002" s="2471"/>
      <c r="AI1002" s="2472"/>
      <c r="AJ1002" s="2449"/>
      <c r="AK1002" s="2450"/>
      <c r="AL1002" s="2450"/>
      <c r="AM1002" s="2450"/>
      <c r="AN1002" s="2450"/>
      <c r="AO1002" s="2450"/>
      <c r="AP1002" s="2450"/>
      <c r="AQ1002" s="2451"/>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488" t="s">
        <v>627</v>
      </c>
      <c r="K1003" s="2489"/>
      <c r="L1003" s="2489"/>
      <c r="M1003" s="2489"/>
      <c r="N1003" s="2489"/>
      <c r="O1003" s="2489"/>
      <c r="P1003" s="2489"/>
      <c r="Q1003" s="2489"/>
      <c r="R1003" s="2489"/>
      <c r="S1003" s="2489"/>
      <c r="T1003" s="2489"/>
      <c r="U1003" s="2489"/>
      <c r="V1003" s="2489"/>
      <c r="W1003" s="2489"/>
      <c r="X1003" s="2489"/>
      <c r="Y1003" s="2489"/>
      <c r="Z1003" s="2489"/>
      <c r="AA1003" s="2489"/>
      <c r="AB1003" s="2489"/>
      <c r="AC1003" s="2489"/>
      <c r="AD1003" s="2489"/>
      <c r="AE1003" s="2490"/>
      <c r="AF1003" s="2473"/>
      <c r="AG1003" s="2474"/>
      <c r="AH1003" s="2474"/>
      <c r="AI1003" s="2475"/>
      <c r="AJ1003" s="2452"/>
      <c r="AK1003" s="2453"/>
      <c r="AL1003" s="2453"/>
      <c r="AM1003" s="2453"/>
      <c r="AN1003" s="2453"/>
      <c r="AO1003" s="2453"/>
      <c r="AP1003" s="2453"/>
      <c r="AQ1003" s="2454"/>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394" t="s">
        <v>1551</v>
      </c>
      <c r="E1004" s="2395"/>
      <c r="F1004" s="2395"/>
      <c r="G1004" s="2395"/>
      <c r="H1004" s="2395"/>
      <c r="I1004" s="2395"/>
      <c r="J1004" s="2395"/>
      <c r="K1004" s="2395"/>
      <c r="L1004" s="2395"/>
      <c r="M1004" s="2395"/>
      <c r="N1004" s="2395"/>
      <c r="O1004" s="2395"/>
      <c r="P1004" s="2395"/>
      <c r="Q1004" s="2395"/>
      <c r="R1004" s="2395"/>
      <c r="S1004" s="2395"/>
      <c r="T1004" s="2395"/>
      <c r="U1004" s="2395"/>
      <c r="V1004" s="2395"/>
      <c r="W1004" s="2395"/>
      <c r="X1004" s="2395"/>
      <c r="Y1004" s="2395"/>
      <c r="Z1004" s="2395"/>
      <c r="AA1004" s="2395"/>
      <c r="AB1004" s="2395"/>
      <c r="AC1004" s="2395"/>
      <c r="AD1004" s="2395"/>
      <c r="AE1004" s="2396"/>
      <c r="AF1004" s="117"/>
      <c r="AG1004" s="2367" t="s">
        <v>579</v>
      </c>
      <c r="AH1004" s="2368"/>
      <c r="AI1004" s="125"/>
      <c r="AJ1004" s="2446">
        <f>'Sources and Uses Budget'!C85</f>
        <v>5746512</v>
      </c>
      <c r="AK1004" s="2447"/>
      <c r="AL1004" s="2447"/>
      <c r="AM1004" s="2447"/>
      <c r="AN1004" s="2447"/>
      <c r="AO1004" s="2447"/>
      <c r="AP1004" s="2447"/>
      <c r="AQ1004" s="2448"/>
      <c r="AR1004" s="1585"/>
      <c r="AS1004" s="1585"/>
      <c r="AT1004" s="1585"/>
      <c r="AU1004" s="1585"/>
      <c r="AV1004" s="1585"/>
      <c r="AW1004" s="1585"/>
      <c r="AX1004" s="1585"/>
      <c r="AY1004" s="1585"/>
      <c r="BA1004" s="321">
        <f>IF(A1078="Yes",0.02,0)</f>
        <v>0</v>
      </c>
    </row>
    <row r="1005" spans="1:96" ht="12.75" customHeight="1">
      <c r="A1005" s="51"/>
      <c r="B1005" s="110"/>
      <c r="C1005" s="111"/>
      <c r="D1005" s="2397" t="s">
        <v>2191</v>
      </c>
      <c r="E1005" s="2398"/>
      <c r="F1005" s="2398"/>
      <c r="G1005" s="2398"/>
      <c r="H1005" s="2398"/>
      <c r="I1005" s="2398"/>
      <c r="J1005" s="2398"/>
      <c r="K1005" s="2398"/>
      <c r="L1005" s="2398"/>
      <c r="M1005" s="2398"/>
      <c r="N1005" s="2398"/>
      <c r="O1005" s="2398"/>
      <c r="P1005" s="2398"/>
      <c r="Q1005" s="2398"/>
      <c r="R1005" s="2398"/>
      <c r="S1005" s="2398"/>
      <c r="T1005" s="2398"/>
      <c r="U1005" s="2398"/>
      <c r="V1005" s="2398"/>
      <c r="W1005" s="2398"/>
      <c r="X1005" s="2398"/>
      <c r="Y1005" s="2398"/>
      <c r="Z1005" s="2398"/>
      <c r="AA1005" s="2398"/>
      <c r="AB1005" s="2398"/>
      <c r="AC1005" s="2398"/>
      <c r="AD1005" s="2398"/>
      <c r="AE1005" s="2399"/>
      <c r="AF1005" s="2476" t="str">
        <f>IF(AG1004="yes","Please Enter Amount:",0)</f>
        <v>Please Enter Amount:</v>
      </c>
      <c r="AG1005" s="2477"/>
      <c r="AH1005" s="2477"/>
      <c r="AI1005" s="2478"/>
      <c r="AJ1005" s="2449"/>
      <c r="AK1005" s="2450"/>
      <c r="AL1005" s="2450"/>
      <c r="AM1005" s="2450"/>
      <c r="AN1005" s="2450"/>
      <c r="AO1005" s="2450"/>
      <c r="AP1005" s="2450"/>
      <c r="AQ1005" s="2451"/>
      <c r="AR1005" s="1585"/>
      <c r="AS1005" s="1585"/>
      <c r="AT1005" s="1585"/>
      <c r="AU1005" s="1585"/>
      <c r="AV1005" s="1585"/>
      <c r="AW1005" s="1585"/>
      <c r="AX1005" s="1585"/>
      <c r="AY1005" s="1585"/>
      <c r="BA1005" s="322">
        <f>IF(A1082="Yes",0.02,0)</f>
        <v>0</v>
      </c>
    </row>
    <row r="1006" spans="1:96" ht="12.75" customHeight="1">
      <c r="A1006" s="51"/>
      <c r="B1006" s="110"/>
      <c r="C1006" s="111"/>
      <c r="D1006" s="2397"/>
      <c r="E1006" s="2398"/>
      <c r="F1006" s="2398"/>
      <c r="G1006" s="2398"/>
      <c r="H1006" s="2398"/>
      <c r="I1006" s="2398"/>
      <c r="J1006" s="2398"/>
      <c r="K1006" s="2398"/>
      <c r="L1006" s="2398"/>
      <c r="M1006" s="2398"/>
      <c r="N1006" s="2398"/>
      <c r="O1006" s="2398"/>
      <c r="P1006" s="2398"/>
      <c r="Q1006" s="2398"/>
      <c r="R1006" s="2398"/>
      <c r="S1006" s="2398"/>
      <c r="T1006" s="2398"/>
      <c r="U1006" s="2398"/>
      <c r="V1006" s="2398"/>
      <c r="W1006" s="2398"/>
      <c r="X1006" s="2398"/>
      <c r="Y1006" s="2398"/>
      <c r="Z1006" s="2398"/>
      <c r="AA1006" s="2398"/>
      <c r="AB1006" s="2398"/>
      <c r="AC1006" s="2398"/>
      <c r="AD1006" s="2398"/>
      <c r="AE1006" s="2399"/>
      <c r="AF1006" s="2476"/>
      <c r="AG1006" s="2477"/>
      <c r="AH1006" s="2477"/>
      <c r="AI1006" s="2478"/>
      <c r="AJ1006" s="2449"/>
      <c r="AK1006" s="2450"/>
      <c r="AL1006" s="2450"/>
      <c r="AM1006" s="2450"/>
      <c r="AN1006" s="2450"/>
      <c r="AO1006" s="2450"/>
      <c r="AP1006" s="2450"/>
      <c r="AQ1006" s="2451"/>
      <c r="AR1006" s="1585"/>
      <c r="AS1006" s="1585"/>
      <c r="AT1006" s="1585"/>
      <c r="AU1006" s="1585"/>
      <c r="AV1006" s="1585"/>
      <c r="AW1006" s="1585"/>
      <c r="AX1006" s="1585"/>
      <c r="AY1006" s="1585"/>
    </row>
    <row r="1007" spans="1:96" ht="12.75" customHeight="1">
      <c r="A1007" s="51"/>
      <c r="B1007" s="123"/>
      <c r="C1007" s="122"/>
      <c r="D1007" s="2406"/>
      <c r="E1007" s="2407"/>
      <c r="F1007" s="2407"/>
      <c r="G1007" s="2407"/>
      <c r="H1007" s="2407"/>
      <c r="I1007" s="2407"/>
      <c r="J1007" s="2407"/>
      <c r="K1007" s="2407"/>
      <c r="L1007" s="2407"/>
      <c r="M1007" s="2407"/>
      <c r="N1007" s="2407"/>
      <c r="O1007" s="2407"/>
      <c r="P1007" s="2407"/>
      <c r="Q1007" s="2407"/>
      <c r="R1007" s="2407"/>
      <c r="S1007" s="2407"/>
      <c r="T1007" s="2407"/>
      <c r="U1007" s="2407"/>
      <c r="V1007" s="2407"/>
      <c r="W1007" s="2407"/>
      <c r="X1007" s="2407"/>
      <c r="Y1007" s="2407"/>
      <c r="Z1007" s="2407"/>
      <c r="AA1007" s="2407"/>
      <c r="AB1007" s="2407"/>
      <c r="AC1007" s="2407"/>
      <c r="AD1007" s="2407"/>
      <c r="AE1007" s="2408"/>
      <c r="AF1007" s="2479"/>
      <c r="AG1007" s="2480"/>
      <c r="AH1007" s="2480"/>
      <c r="AI1007" s="2481"/>
      <c r="AJ1007" s="2452"/>
      <c r="AK1007" s="2453"/>
      <c r="AL1007" s="2453"/>
      <c r="AM1007" s="2453"/>
      <c r="AN1007" s="2453"/>
      <c r="AO1007" s="2453"/>
      <c r="AP1007" s="2453"/>
      <c r="AQ1007" s="2454"/>
      <c r="AR1007" s="1585"/>
      <c r="AS1007" s="1585"/>
      <c r="AT1007" s="1585"/>
      <c r="AU1007" s="1585"/>
      <c r="AV1007" s="1585"/>
      <c r="AW1007" s="1585"/>
      <c r="AX1007" s="1585"/>
      <c r="AY1007" s="1585"/>
    </row>
    <row r="1008" spans="1:96" s="720" customFormat="1" ht="12.75" customHeight="1">
      <c r="A1008" s="51"/>
      <c r="B1008" s="117"/>
      <c r="C1008" s="118" t="s">
        <v>241</v>
      </c>
      <c r="D1008" s="2369" t="s">
        <v>1552</v>
      </c>
      <c r="E1008" s="2370"/>
      <c r="F1008" s="2370"/>
      <c r="G1008" s="2370"/>
      <c r="H1008" s="2370"/>
      <c r="I1008" s="2370"/>
      <c r="J1008" s="2370"/>
      <c r="K1008" s="2370"/>
      <c r="L1008" s="2370"/>
      <c r="M1008" s="2370"/>
      <c r="N1008" s="2370"/>
      <c r="O1008" s="2370"/>
      <c r="P1008" s="2370"/>
      <c r="Q1008" s="2370"/>
      <c r="R1008" s="2370"/>
      <c r="S1008" s="2370"/>
      <c r="T1008" s="2370"/>
      <c r="U1008" s="2370"/>
      <c r="V1008" s="2370"/>
      <c r="W1008" s="2370"/>
      <c r="X1008" s="2370"/>
      <c r="Y1008" s="2370"/>
      <c r="Z1008" s="2370"/>
      <c r="AA1008" s="2370"/>
      <c r="AB1008" s="2370"/>
      <c r="AC1008" s="2370"/>
      <c r="AD1008" s="2370"/>
      <c r="AE1008" s="2371"/>
      <c r="AF1008" s="117"/>
      <c r="AG1008" s="2367" t="s">
        <v>579</v>
      </c>
      <c r="AH1008" s="2368"/>
      <c r="AI1008" s="125"/>
      <c r="AJ1008" s="2435">
        <f>ROUND(IF(AG1008="yes",(AJ975*0.1),0),0)</f>
        <v>7065344</v>
      </c>
      <c r="AK1008" s="2436"/>
      <c r="AL1008" s="2436"/>
      <c r="AM1008" s="2436"/>
      <c r="AN1008" s="2436"/>
      <c r="AO1008" s="2436"/>
      <c r="AP1008" s="2436"/>
      <c r="AQ1008" s="2437"/>
      <c r="AR1008" s="1585"/>
      <c r="AS1008" s="1585"/>
      <c r="AT1008" s="1585"/>
      <c r="AU1008" s="1585"/>
      <c r="AV1008" s="1585"/>
      <c r="AW1008" s="1585"/>
      <c r="AX1008" s="1585"/>
      <c r="AY1008" s="1585"/>
      <c r="CR1008" s="25"/>
    </row>
    <row r="1009" spans="1:96" ht="12.75" customHeight="1">
      <c r="A1009" s="51"/>
      <c r="B1009" s="110"/>
      <c r="C1009" s="111"/>
      <c r="D1009" s="2397" t="s">
        <v>1553</v>
      </c>
      <c r="E1009" s="2398"/>
      <c r="F1009" s="2398"/>
      <c r="G1009" s="2398"/>
      <c r="H1009" s="2398"/>
      <c r="I1009" s="2398"/>
      <c r="J1009" s="2398"/>
      <c r="K1009" s="2398"/>
      <c r="L1009" s="2398"/>
      <c r="M1009" s="2398"/>
      <c r="N1009" s="2398"/>
      <c r="O1009" s="2398"/>
      <c r="P1009" s="2398"/>
      <c r="Q1009" s="2398"/>
      <c r="R1009" s="2398"/>
      <c r="S1009" s="2398"/>
      <c r="T1009" s="2398"/>
      <c r="U1009" s="2398"/>
      <c r="V1009" s="2398"/>
      <c r="W1009" s="2398"/>
      <c r="X1009" s="2398"/>
      <c r="Y1009" s="2398"/>
      <c r="Z1009" s="2398"/>
      <c r="AA1009" s="2398"/>
      <c r="AB1009" s="2398"/>
      <c r="AC1009" s="2398"/>
      <c r="AD1009" s="2398"/>
      <c r="AE1009" s="2399"/>
      <c r="AF1009" s="110"/>
      <c r="AG1009" s="112"/>
      <c r="AH1009" s="112"/>
      <c r="AI1009" s="121"/>
      <c r="AJ1009" s="2438"/>
      <c r="AK1009" s="2047"/>
      <c r="AL1009" s="2047"/>
      <c r="AM1009" s="2047"/>
      <c r="AN1009" s="2047"/>
      <c r="AO1009" s="2047"/>
      <c r="AP1009" s="2047"/>
      <c r="AQ1009" s="2439"/>
      <c r="AR1009" s="1585"/>
      <c r="AS1009" s="1585"/>
      <c r="AT1009" s="1585"/>
      <c r="AU1009" s="1585"/>
      <c r="AV1009" s="1585"/>
      <c r="AW1009" s="1585"/>
      <c r="AX1009" s="1585"/>
      <c r="AY1009" s="1585"/>
    </row>
    <row r="1010" spans="1:96" ht="12.75" customHeight="1">
      <c r="A1010" s="51"/>
      <c r="B1010" s="115"/>
      <c r="C1010" s="111"/>
      <c r="D1010" s="2406"/>
      <c r="E1010" s="2407"/>
      <c r="F1010" s="2407"/>
      <c r="G1010" s="2407"/>
      <c r="H1010" s="2407"/>
      <c r="I1010" s="2407"/>
      <c r="J1010" s="2407"/>
      <c r="K1010" s="2407"/>
      <c r="L1010" s="2407"/>
      <c r="M1010" s="2407"/>
      <c r="N1010" s="2407"/>
      <c r="O1010" s="2407"/>
      <c r="P1010" s="2407"/>
      <c r="Q1010" s="2407"/>
      <c r="R1010" s="2407"/>
      <c r="S1010" s="2407"/>
      <c r="T1010" s="2407"/>
      <c r="U1010" s="2407"/>
      <c r="V1010" s="2407"/>
      <c r="W1010" s="2407"/>
      <c r="X1010" s="2407"/>
      <c r="Y1010" s="2407"/>
      <c r="Z1010" s="2407"/>
      <c r="AA1010" s="2407"/>
      <c r="AB1010" s="2407"/>
      <c r="AC1010" s="2407"/>
      <c r="AD1010" s="2407"/>
      <c r="AE1010" s="2408"/>
      <c r="AF1010" s="110"/>
      <c r="AG1010" s="112"/>
      <c r="AH1010" s="112"/>
      <c r="AI1010" s="121"/>
      <c r="AJ1010" s="2440"/>
      <c r="AK1010" s="2441"/>
      <c r="AL1010" s="2441"/>
      <c r="AM1010" s="2441"/>
      <c r="AN1010" s="2441"/>
      <c r="AO1010" s="2441"/>
      <c r="AP1010" s="2441"/>
      <c r="AQ1010" s="2442"/>
      <c r="AR1010" s="1585"/>
      <c r="AS1010" s="1585"/>
      <c r="AT1010" s="1585"/>
      <c r="AU1010" s="1585"/>
      <c r="AV1010" s="1585"/>
      <c r="AW1010" s="1585"/>
      <c r="AX1010" s="1585"/>
      <c r="AY1010" s="1585"/>
    </row>
    <row r="1011" spans="1:96" s="720" customFormat="1" ht="12.75" customHeight="1">
      <c r="A1011" s="51"/>
      <c r="B1011" s="110"/>
      <c r="C1011" s="532" t="s">
        <v>726</v>
      </c>
      <c r="D1011" s="2394" t="s">
        <v>2187</v>
      </c>
      <c r="E1011" s="2395"/>
      <c r="F1011" s="2395"/>
      <c r="G1011" s="2395"/>
      <c r="H1011" s="2395"/>
      <c r="I1011" s="2395"/>
      <c r="J1011" s="2395"/>
      <c r="K1011" s="2395"/>
      <c r="L1011" s="2395"/>
      <c r="M1011" s="2395"/>
      <c r="N1011" s="2395"/>
      <c r="O1011" s="2395"/>
      <c r="P1011" s="2395"/>
      <c r="Q1011" s="2395"/>
      <c r="R1011" s="2395"/>
      <c r="S1011" s="2395"/>
      <c r="T1011" s="2395"/>
      <c r="U1011" s="2395"/>
      <c r="V1011" s="2395"/>
      <c r="W1011" s="2395"/>
      <c r="X1011" s="2395"/>
      <c r="Y1011" s="2395"/>
      <c r="Z1011" s="2395"/>
      <c r="AA1011" s="2395"/>
      <c r="AB1011" s="2395"/>
      <c r="AC1011" s="2395"/>
      <c r="AD1011" s="2395"/>
      <c r="AE1011" s="2396"/>
      <c r="AF1011" s="117"/>
      <c r="AG1011" s="2367" t="s">
        <v>707</v>
      </c>
      <c r="AH1011" s="2368"/>
      <c r="AI1011" s="125"/>
      <c r="AJ1011" s="2435">
        <f>ROUND(IF(AG1011="yes",(AJ975*0.15),0),0)</f>
        <v>0</v>
      </c>
      <c r="AK1011" s="2436"/>
      <c r="AL1011" s="2436"/>
      <c r="AM1011" s="2436"/>
      <c r="AN1011" s="2436"/>
      <c r="AO1011" s="2436"/>
      <c r="AP1011" s="2436"/>
      <c r="AQ1011" s="2437"/>
      <c r="AR1011" s="1585"/>
      <c r="AS1011" s="1585"/>
      <c r="AT1011" s="1585"/>
      <c r="AU1011" s="1585"/>
      <c r="AV1011" s="1585"/>
      <c r="AW1011" s="1585"/>
      <c r="AX1011" s="1585"/>
      <c r="AY1011" s="1585"/>
      <c r="CR1011" s="25"/>
    </row>
    <row r="1012" spans="1:96" s="720" customFormat="1" ht="12.75" customHeight="1">
      <c r="A1012" s="51"/>
      <c r="B1012" s="110"/>
      <c r="C1012" s="111"/>
      <c r="D1012" s="2429" t="s">
        <v>2188</v>
      </c>
      <c r="E1012" s="2430"/>
      <c r="F1012" s="2430"/>
      <c r="G1012" s="2430"/>
      <c r="H1012" s="2430"/>
      <c r="I1012" s="2430"/>
      <c r="J1012" s="2430"/>
      <c r="K1012" s="2430"/>
      <c r="L1012" s="2430"/>
      <c r="M1012" s="2430"/>
      <c r="N1012" s="2430"/>
      <c r="O1012" s="2430"/>
      <c r="P1012" s="2430"/>
      <c r="Q1012" s="2430"/>
      <c r="R1012" s="2430"/>
      <c r="S1012" s="2430"/>
      <c r="T1012" s="2430"/>
      <c r="U1012" s="2430"/>
      <c r="V1012" s="2430"/>
      <c r="W1012" s="2430"/>
      <c r="X1012" s="2430"/>
      <c r="Y1012" s="2430"/>
      <c r="Z1012" s="2430"/>
      <c r="AA1012" s="2430"/>
      <c r="AB1012" s="2430"/>
      <c r="AC1012" s="2430"/>
      <c r="AD1012" s="2430"/>
      <c r="AE1012" s="2431"/>
      <c r="AF1012" s="1615"/>
      <c r="AG1012" s="1616"/>
      <c r="AH1012" s="1616"/>
      <c r="AI1012" s="1617"/>
      <c r="AJ1012" s="2438"/>
      <c r="AK1012" s="2047"/>
      <c r="AL1012" s="2047"/>
      <c r="AM1012" s="2047"/>
      <c r="AN1012" s="2047"/>
      <c r="AO1012" s="2047"/>
      <c r="AP1012" s="2047"/>
      <c r="AQ1012" s="2439"/>
      <c r="AR1012" s="1585"/>
      <c r="AS1012" s="1585"/>
      <c r="AT1012" s="1585"/>
      <c r="AU1012" s="1585"/>
      <c r="AV1012" s="1585"/>
      <c r="AW1012" s="1585"/>
      <c r="AX1012" s="1585"/>
      <c r="AY1012" s="1585"/>
      <c r="CR1012" s="25"/>
    </row>
    <row r="1013" spans="1:96" s="720" customFormat="1" ht="12.75" customHeight="1">
      <c r="A1013" s="51"/>
      <c r="B1013" s="110"/>
      <c r="C1013" s="111"/>
      <c r="D1013" s="2429"/>
      <c r="E1013" s="2430"/>
      <c r="F1013" s="2430"/>
      <c r="G1013" s="2430"/>
      <c r="H1013" s="2430"/>
      <c r="I1013" s="2430"/>
      <c r="J1013" s="2430"/>
      <c r="K1013" s="2430"/>
      <c r="L1013" s="2430"/>
      <c r="M1013" s="2430"/>
      <c r="N1013" s="2430"/>
      <c r="O1013" s="2430"/>
      <c r="P1013" s="2430"/>
      <c r="Q1013" s="2430"/>
      <c r="R1013" s="2430"/>
      <c r="S1013" s="2430"/>
      <c r="T1013" s="2430"/>
      <c r="U1013" s="2430"/>
      <c r="V1013" s="2430"/>
      <c r="W1013" s="2430"/>
      <c r="X1013" s="2430"/>
      <c r="Y1013" s="2430"/>
      <c r="Z1013" s="2430"/>
      <c r="AA1013" s="2430"/>
      <c r="AB1013" s="2430"/>
      <c r="AC1013" s="2430"/>
      <c r="AD1013" s="2430"/>
      <c r="AE1013" s="2431"/>
      <c r="AF1013" s="1615"/>
      <c r="AG1013" s="1616"/>
      <c r="AH1013" s="1616"/>
      <c r="AI1013" s="1617"/>
      <c r="AJ1013" s="2438"/>
      <c r="AK1013" s="2047"/>
      <c r="AL1013" s="2047"/>
      <c r="AM1013" s="2047"/>
      <c r="AN1013" s="2047"/>
      <c r="AO1013" s="2047"/>
      <c r="AP1013" s="2047"/>
      <c r="AQ1013" s="2439"/>
      <c r="AR1013" s="1585"/>
      <c r="AS1013" s="1585"/>
      <c r="AT1013" s="1585"/>
      <c r="AU1013" s="1585"/>
      <c r="AV1013" s="1585"/>
      <c r="AW1013" s="1585"/>
      <c r="AX1013" s="1585"/>
      <c r="AY1013" s="1585"/>
      <c r="CR1013" s="25"/>
    </row>
    <row r="1014" spans="1:96" s="720" customFormat="1" ht="12.75" customHeight="1">
      <c r="A1014" s="51"/>
      <c r="B1014" s="110"/>
      <c r="C1014" s="111"/>
      <c r="D1014" s="2432"/>
      <c r="E1014" s="2433"/>
      <c r="F1014" s="2433"/>
      <c r="G1014" s="2433"/>
      <c r="H1014" s="2433"/>
      <c r="I1014" s="2433"/>
      <c r="J1014" s="2433"/>
      <c r="K1014" s="2433"/>
      <c r="L1014" s="2433"/>
      <c r="M1014" s="2433"/>
      <c r="N1014" s="2433"/>
      <c r="O1014" s="2433"/>
      <c r="P1014" s="2433"/>
      <c r="Q1014" s="2433"/>
      <c r="R1014" s="2433"/>
      <c r="S1014" s="2433"/>
      <c r="T1014" s="2433"/>
      <c r="U1014" s="2433"/>
      <c r="V1014" s="2433"/>
      <c r="W1014" s="2433"/>
      <c r="X1014" s="2433"/>
      <c r="Y1014" s="2433"/>
      <c r="Z1014" s="2433"/>
      <c r="AA1014" s="2433"/>
      <c r="AB1014" s="2433"/>
      <c r="AC1014" s="2433"/>
      <c r="AD1014" s="2433"/>
      <c r="AE1014" s="2434"/>
      <c r="AF1014" s="1618"/>
      <c r="AG1014" s="1619"/>
      <c r="AH1014" s="1619"/>
      <c r="AI1014" s="1620"/>
      <c r="AJ1014" s="2440"/>
      <c r="AK1014" s="2441"/>
      <c r="AL1014" s="2441"/>
      <c r="AM1014" s="2441"/>
      <c r="AN1014" s="2441"/>
      <c r="AO1014" s="2441"/>
      <c r="AP1014" s="2441"/>
      <c r="AQ1014" s="2442"/>
      <c r="AR1014" s="1585"/>
      <c r="AS1014" s="1585"/>
      <c r="AT1014" s="1585"/>
      <c r="AU1014" s="1585"/>
      <c r="AV1014" s="1585"/>
      <c r="AW1014" s="1585"/>
      <c r="AX1014" s="1585"/>
      <c r="AY1014" s="1585"/>
      <c r="CR1014" s="25"/>
    </row>
    <row r="1015" spans="1:96" s="720" customFormat="1" ht="12.75" customHeight="1">
      <c r="A1015" s="51"/>
      <c r="B1015" s="110"/>
      <c r="C1015" s="532" t="s">
        <v>726</v>
      </c>
      <c r="D1015" s="2369" t="s">
        <v>2189</v>
      </c>
      <c r="E1015" s="2370"/>
      <c r="F1015" s="2370"/>
      <c r="G1015" s="2370"/>
      <c r="H1015" s="2370"/>
      <c r="I1015" s="2370"/>
      <c r="J1015" s="2370"/>
      <c r="K1015" s="2370"/>
      <c r="L1015" s="2370"/>
      <c r="M1015" s="2370"/>
      <c r="N1015" s="2370"/>
      <c r="O1015" s="2370"/>
      <c r="P1015" s="2370"/>
      <c r="Q1015" s="2370"/>
      <c r="R1015" s="2370"/>
      <c r="S1015" s="2370"/>
      <c r="T1015" s="2370"/>
      <c r="U1015" s="2370"/>
      <c r="V1015" s="2370"/>
      <c r="W1015" s="2370"/>
      <c r="X1015" s="2370"/>
      <c r="Y1015" s="2370"/>
      <c r="Z1015" s="2370"/>
      <c r="AA1015" s="2370"/>
      <c r="AB1015" s="2370"/>
      <c r="AC1015" s="2370"/>
      <c r="AD1015" s="2370"/>
      <c r="AE1015" s="2371"/>
      <c r="AF1015" s="110"/>
      <c r="AG1015" s="2404" t="s">
        <v>707</v>
      </c>
      <c r="AH1015" s="2405"/>
      <c r="AI1015" s="121"/>
      <c r="AJ1015" s="2435">
        <f>ROUND(IF(AG1015="yes",(AJ975*0.1),0),0)</f>
        <v>0</v>
      </c>
      <c r="AK1015" s="2436"/>
      <c r="AL1015" s="2436"/>
      <c r="AM1015" s="2436"/>
      <c r="AN1015" s="2436"/>
      <c r="AO1015" s="2436"/>
      <c r="AP1015" s="2436"/>
      <c r="AQ1015" s="2437"/>
      <c r="AR1015" s="1585"/>
      <c r="AS1015" s="1585"/>
      <c r="AT1015" s="1585"/>
      <c r="AU1015" s="1585"/>
      <c r="AV1015" s="1585"/>
      <c r="AW1015" s="1585"/>
      <c r="AX1015" s="1585"/>
      <c r="AY1015" s="1585"/>
      <c r="CR1015" s="25"/>
    </row>
    <row r="1016" spans="1:96" s="720" customFormat="1" ht="12.75" customHeight="1">
      <c r="A1016" s="51"/>
      <c r="B1016" s="110"/>
      <c r="C1016" s="111"/>
      <c r="D1016" s="2429" t="s">
        <v>2190</v>
      </c>
      <c r="E1016" s="2430"/>
      <c r="F1016" s="2430"/>
      <c r="G1016" s="2430"/>
      <c r="H1016" s="2430"/>
      <c r="I1016" s="2430"/>
      <c r="J1016" s="2430"/>
      <c r="K1016" s="2430"/>
      <c r="L1016" s="2430"/>
      <c r="M1016" s="2430"/>
      <c r="N1016" s="2430"/>
      <c r="O1016" s="2430"/>
      <c r="P1016" s="2430"/>
      <c r="Q1016" s="2430"/>
      <c r="R1016" s="2430"/>
      <c r="S1016" s="2430"/>
      <c r="T1016" s="2430"/>
      <c r="U1016" s="2430"/>
      <c r="V1016" s="2430"/>
      <c r="W1016" s="2430"/>
      <c r="X1016" s="2430"/>
      <c r="Y1016" s="2430"/>
      <c r="Z1016" s="2430"/>
      <c r="AA1016" s="2430"/>
      <c r="AB1016" s="2430"/>
      <c r="AC1016" s="2430"/>
      <c r="AD1016" s="2430"/>
      <c r="AE1016" s="2431"/>
      <c r="AF1016" s="110"/>
      <c r="AG1016" s="112"/>
      <c r="AH1016" s="112"/>
      <c r="AI1016" s="121"/>
      <c r="AJ1016" s="2438"/>
      <c r="AK1016" s="2047"/>
      <c r="AL1016" s="2047"/>
      <c r="AM1016" s="2047"/>
      <c r="AN1016" s="2047"/>
      <c r="AO1016" s="2047"/>
      <c r="AP1016" s="2047"/>
      <c r="AQ1016" s="2439"/>
      <c r="AR1016" s="1585"/>
      <c r="AS1016" s="1585"/>
      <c r="AT1016" s="1585"/>
      <c r="AU1016" s="1585"/>
      <c r="AV1016" s="1585"/>
      <c r="AW1016" s="1585"/>
      <c r="AX1016" s="1585"/>
      <c r="AY1016" s="1585"/>
      <c r="CR1016" s="25"/>
    </row>
    <row r="1017" spans="1:96" s="720" customFormat="1" ht="12.75" customHeight="1">
      <c r="A1017" s="51"/>
      <c r="B1017" s="110"/>
      <c r="C1017" s="111"/>
      <c r="D1017" s="2429"/>
      <c r="E1017" s="2430"/>
      <c r="F1017" s="2430"/>
      <c r="G1017" s="2430"/>
      <c r="H1017" s="2430"/>
      <c r="I1017" s="2430"/>
      <c r="J1017" s="2430"/>
      <c r="K1017" s="2430"/>
      <c r="L1017" s="2430"/>
      <c r="M1017" s="2430"/>
      <c r="N1017" s="2430"/>
      <c r="O1017" s="2430"/>
      <c r="P1017" s="2430"/>
      <c r="Q1017" s="2430"/>
      <c r="R1017" s="2430"/>
      <c r="S1017" s="2430"/>
      <c r="T1017" s="2430"/>
      <c r="U1017" s="2430"/>
      <c r="V1017" s="2430"/>
      <c r="W1017" s="2430"/>
      <c r="X1017" s="2430"/>
      <c r="Y1017" s="2430"/>
      <c r="Z1017" s="2430"/>
      <c r="AA1017" s="2430"/>
      <c r="AB1017" s="2430"/>
      <c r="AC1017" s="2430"/>
      <c r="AD1017" s="2430"/>
      <c r="AE1017" s="2431"/>
      <c r="AF1017" s="110"/>
      <c r="AG1017" s="112"/>
      <c r="AH1017" s="112"/>
      <c r="AI1017" s="121"/>
      <c r="AJ1017" s="2438"/>
      <c r="AK1017" s="2047"/>
      <c r="AL1017" s="2047"/>
      <c r="AM1017" s="2047"/>
      <c r="AN1017" s="2047"/>
      <c r="AO1017" s="2047"/>
      <c r="AP1017" s="2047"/>
      <c r="AQ1017" s="2439"/>
      <c r="AR1017" s="1585"/>
      <c r="AS1017" s="1585"/>
      <c r="AT1017" s="1585"/>
      <c r="AU1017" s="1585"/>
      <c r="AV1017" s="1585"/>
      <c r="AW1017" s="1585"/>
      <c r="AX1017" s="1585"/>
      <c r="AY1017" s="1585"/>
      <c r="CR1017" s="25"/>
    </row>
    <row r="1018" spans="1:96" s="720" customFormat="1" ht="12.75" customHeight="1">
      <c r="A1018" s="51"/>
      <c r="B1018" s="110"/>
      <c r="C1018" s="111"/>
      <c r="D1018" s="2429"/>
      <c r="E1018" s="2430"/>
      <c r="F1018" s="2430"/>
      <c r="G1018" s="2430"/>
      <c r="H1018" s="2430"/>
      <c r="I1018" s="2430"/>
      <c r="J1018" s="2430"/>
      <c r="K1018" s="2430"/>
      <c r="L1018" s="2430"/>
      <c r="M1018" s="2430"/>
      <c r="N1018" s="2430"/>
      <c r="O1018" s="2430"/>
      <c r="P1018" s="2430"/>
      <c r="Q1018" s="2430"/>
      <c r="R1018" s="2430"/>
      <c r="S1018" s="2430"/>
      <c r="T1018" s="2430"/>
      <c r="U1018" s="2430"/>
      <c r="V1018" s="2430"/>
      <c r="W1018" s="2430"/>
      <c r="X1018" s="2430"/>
      <c r="Y1018" s="2430"/>
      <c r="Z1018" s="2430"/>
      <c r="AA1018" s="2430"/>
      <c r="AB1018" s="2430"/>
      <c r="AC1018" s="2430"/>
      <c r="AD1018" s="2430"/>
      <c r="AE1018" s="2431"/>
      <c r="AF1018" s="110"/>
      <c r="AG1018" s="112"/>
      <c r="AH1018" s="112"/>
      <c r="AI1018" s="121"/>
      <c r="AJ1018" s="2438"/>
      <c r="AK1018" s="2047"/>
      <c r="AL1018" s="2047"/>
      <c r="AM1018" s="2047"/>
      <c r="AN1018" s="2047"/>
      <c r="AO1018" s="2047"/>
      <c r="AP1018" s="2047"/>
      <c r="AQ1018" s="2439"/>
      <c r="AR1018" s="1585"/>
      <c r="AS1018" s="1585"/>
      <c r="AT1018" s="1585"/>
      <c r="AU1018" s="1585"/>
      <c r="AV1018" s="1585"/>
      <c r="AW1018" s="1585"/>
      <c r="AX1018" s="1585"/>
      <c r="AY1018" s="1585"/>
      <c r="CR1018" s="25"/>
    </row>
    <row r="1019" spans="1:96" s="720" customFormat="1" ht="12.75" customHeight="1">
      <c r="A1019" s="51"/>
      <c r="B1019" s="110"/>
      <c r="C1019" s="111"/>
      <c r="D1019" s="2432"/>
      <c r="E1019" s="2433"/>
      <c r="F1019" s="2433"/>
      <c r="G1019" s="2433"/>
      <c r="H1019" s="2433"/>
      <c r="I1019" s="2433"/>
      <c r="J1019" s="2433"/>
      <c r="K1019" s="2433"/>
      <c r="L1019" s="2433"/>
      <c r="M1019" s="2433"/>
      <c r="N1019" s="2433"/>
      <c r="O1019" s="2433"/>
      <c r="P1019" s="2433"/>
      <c r="Q1019" s="2433"/>
      <c r="R1019" s="2433"/>
      <c r="S1019" s="2433"/>
      <c r="T1019" s="2433"/>
      <c r="U1019" s="2433"/>
      <c r="V1019" s="2433"/>
      <c r="W1019" s="2433"/>
      <c r="X1019" s="2433"/>
      <c r="Y1019" s="2433"/>
      <c r="Z1019" s="2433"/>
      <c r="AA1019" s="2433"/>
      <c r="AB1019" s="2433"/>
      <c r="AC1019" s="2433"/>
      <c r="AD1019" s="2433"/>
      <c r="AE1019" s="2434"/>
      <c r="AF1019" s="110"/>
      <c r="AG1019" s="112"/>
      <c r="AH1019" s="112"/>
      <c r="AI1019" s="121"/>
      <c r="AJ1019" s="2438"/>
      <c r="AK1019" s="2047"/>
      <c r="AL1019" s="2047"/>
      <c r="AM1019" s="2047"/>
      <c r="AN1019" s="2047"/>
      <c r="AO1019" s="2047"/>
      <c r="AP1019" s="2047"/>
      <c r="AQ1019" s="2439"/>
      <c r="AR1019" s="1585"/>
      <c r="AS1019" s="1585"/>
      <c r="AT1019" s="1585"/>
      <c r="AU1019" s="1585"/>
      <c r="AV1019" s="1585"/>
      <c r="AW1019" s="1585"/>
      <c r="AX1019" s="1585"/>
      <c r="AY1019" s="1585"/>
      <c r="CR1019" s="25"/>
    </row>
    <row r="1020" spans="1:96" s="720" customFormat="1" ht="12.75" customHeight="1">
      <c r="A1020" s="51"/>
      <c r="B1020" s="117"/>
      <c r="C1020" s="198" t="s">
        <v>1120</v>
      </c>
      <c r="D1020" s="2394" t="s">
        <v>1554</v>
      </c>
      <c r="E1020" s="2395"/>
      <c r="F1020" s="2395"/>
      <c r="G1020" s="2395"/>
      <c r="H1020" s="2395"/>
      <c r="I1020" s="2395"/>
      <c r="J1020" s="2395"/>
      <c r="K1020" s="2395"/>
      <c r="L1020" s="2395"/>
      <c r="M1020" s="2395"/>
      <c r="N1020" s="2395"/>
      <c r="O1020" s="2395"/>
      <c r="P1020" s="2395"/>
      <c r="Q1020" s="2395"/>
      <c r="R1020" s="2395"/>
      <c r="S1020" s="2395"/>
      <c r="T1020" s="2395"/>
      <c r="U1020" s="2395"/>
      <c r="V1020" s="2395"/>
      <c r="W1020" s="2395"/>
      <c r="X1020" s="2395"/>
      <c r="Y1020" s="2395"/>
      <c r="Z1020" s="2395"/>
      <c r="AA1020" s="2395"/>
      <c r="AB1020" s="2395"/>
      <c r="AC1020" s="2395"/>
      <c r="AD1020" s="2395"/>
      <c r="AE1020" s="2396"/>
      <c r="AF1020" s="117"/>
      <c r="AG1020" s="2367" t="s">
        <v>707</v>
      </c>
      <c r="AH1020" s="2368"/>
      <c r="AI1020" s="125"/>
      <c r="AJ1020" s="2435">
        <f>ROUND(IF(AG1020="yes",(AJ975*0.1),0),0)</f>
        <v>0</v>
      </c>
      <c r="AK1020" s="2436"/>
      <c r="AL1020" s="2436"/>
      <c r="AM1020" s="2436"/>
      <c r="AN1020" s="2436"/>
      <c r="AO1020" s="2436"/>
      <c r="AP1020" s="2436"/>
      <c r="AQ1020" s="2437"/>
      <c r="AR1020" s="1585"/>
      <c r="AS1020" s="1585"/>
      <c r="AT1020" s="1585"/>
      <c r="AU1020" s="1585"/>
      <c r="AV1020" s="1585"/>
      <c r="AW1020" s="1585"/>
      <c r="AX1020" s="1585"/>
      <c r="AY1020" s="1585"/>
      <c r="CR1020" s="25"/>
    </row>
    <row r="1021" spans="1:96" ht="12.75" customHeight="1">
      <c r="A1021" s="51"/>
      <c r="B1021" s="110"/>
      <c r="C1021" s="111"/>
      <c r="D1021" s="2397" t="s">
        <v>1555</v>
      </c>
      <c r="E1021" s="2398"/>
      <c r="F1021" s="2398"/>
      <c r="G1021" s="2398"/>
      <c r="H1021" s="2398"/>
      <c r="I1021" s="2398"/>
      <c r="J1021" s="2398"/>
      <c r="K1021" s="2398"/>
      <c r="L1021" s="2398"/>
      <c r="M1021" s="2398"/>
      <c r="N1021" s="2398"/>
      <c r="O1021" s="2398"/>
      <c r="P1021" s="2398"/>
      <c r="Q1021" s="2398"/>
      <c r="R1021" s="2398"/>
      <c r="S1021" s="2398"/>
      <c r="T1021" s="2398"/>
      <c r="U1021" s="2398"/>
      <c r="V1021" s="2398"/>
      <c r="W1021" s="2398"/>
      <c r="X1021" s="2398"/>
      <c r="Y1021" s="2398"/>
      <c r="Z1021" s="2398"/>
      <c r="AA1021" s="2398"/>
      <c r="AB1021" s="2398"/>
      <c r="AC1021" s="2398"/>
      <c r="AD1021" s="2398"/>
      <c r="AE1021" s="2399"/>
      <c r="AF1021" s="110"/>
      <c r="AG1021" s="112"/>
      <c r="AH1021" s="112"/>
      <c r="AI1021" s="121"/>
      <c r="AJ1021" s="2438"/>
      <c r="AK1021" s="2047"/>
      <c r="AL1021" s="2047"/>
      <c r="AM1021" s="2047"/>
      <c r="AN1021" s="2047"/>
      <c r="AO1021" s="2047"/>
      <c r="AP1021" s="2047"/>
      <c r="AQ1021" s="2439"/>
      <c r="AR1021" s="1585"/>
      <c r="AS1021" s="1585"/>
      <c r="AT1021" s="1585"/>
      <c r="AU1021" s="1585"/>
      <c r="AV1021" s="1585"/>
      <c r="AW1021" s="1585"/>
      <c r="AX1021" s="1585"/>
      <c r="AY1021" s="1585"/>
    </row>
    <row r="1022" spans="1:96" ht="12.75" customHeight="1">
      <c r="A1022" s="51"/>
      <c r="B1022" s="110"/>
      <c r="C1022" s="111"/>
      <c r="D1022" s="2397"/>
      <c r="E1022" s="2398"/>
      <c r="F1022" s="2398"/>
      <c r="G1022" s="2398"/>
      <c r="H1022" s="2398"/>
      <c r="I1022" s="2398"/>
      <c r="J1022" s="2398"/>
      <c r="K1022" s="2398"/>
      <c r="L1022" s="2398"/>
      <c r="M1022" s="2398"/>
      <c r="N1022" s="2398"/>
      <c r="O1022" s="2398"/>
      <c r="P1022" s="2398"/>
      <c r="Q1022" s="2398"/>
      <c r="R1022" s="2398"/>
      <c r="S1022" s="2398"/>
      <c r="T1022" s="2398"/>
      <c r="U1022" s="2398"/>
      <c r="V1022" s="2398"/>
      <c r="W1022" s="2398"/>
      <c r="X1022" s="2398"/>
      <c r="Y1022" s="2398"/>
      <c r="Z1022" s="2398"/>
      <c r="AA1022" s="2398"/>
      <c r="AB1022" s="2398"/>
      <c r="AC1022" s="2398"/>
      <c r="AD1022" s="2398"/>
      <c r="AE1022" s="2399"/>
      <c r="AF1022" s="110"/>
      <c r="AG1022" s="112"/>
      <c r="AH1022" s="112"/>
      <c r="AI1022" s="121"/>
      <c r="AJ1022" s="2438"/>
      <c r="AK1022" s="2047"/>
      <c r="AL1022" s="2047"/>
      <c r="AM1022" s="2047"/>
      <c r="AN1022" s="2047"/>
      <c r="AO1022" s="2047"/>
      <c r="AP1022" s="2047"/>
      <c r="AQ1022" s="2439"/>
      <c r="AR1022" s="1585"/>
      <c r="AS1022" s="1585"/>
      <c r="AT1022" s="1585"/>
      <c r="AU1022" s="1585"/>
      <c r="AV1022" s="1585"/>
      <c r="AW1022" s="1585"/>
      <c r="AX1022" s="1585"/>
      <c r="AY1022" s="1585"/>
    </row>
    <row r="1023" spans="1:96" s="683" customFormat="1" ht="12.75" customHeight="1">
      <c r="A1023" s="51"/>
      <c r="B1023" s="110"/>
      <c r="C1023" s="111"/>
      <c r="D1023" s="2406"/>
      <c r="E1023" s="2407"/>
      <c r="F1023" s="2407"/>
      <c r="G1023" s="2407"/>
      <c r="H1023" s="2407"/>
      <c r="I1023" s="2407"/>
      <c r="J1023" s="2407"/>
      <c r="K1023" s="2407"/>
      <c r="L1023" s="2407"/>
      <c r="M1023" s="2407"/>
      <c r="N1023" s="2407"/>
      <c r="O1023" s="2407"/>
      <c r="P1023" s="2407"/>
      <c r="Q1023" s="2407"/>
      <c r="R1023" s="2407"/>
      <c r="S1023" s="2407"/>
      <c r="T1023" s="2407"/>
      <c r="U1023" s="2407"/>
      <c r="V1023" s="2407"/>
      <c r="W1023" s="2407"/>
      <c r="X1023" s="2407"/>
      <c r="Y1023" s="2407"/>
      <c r="Z1023" s="2407"/>
      <c r="AA1023" s="2407"/>
      <c r="AB1023" s="2407"/>
      <c r="AC1023" s="2407"/>
      <c r="AD1023" s="2407"/>
      <c r="AE1023" s="2408"/>
      <c r="AF1023" s="110"/>
      <c r="AG1023" s="112"/>
      <c r="AH1023" s="112"/>
      <c r="AI1023" s="121"/>
      <c r="AJ1023" s="2440"/>
      <c r="AK1023" s="2441"/>
      <c r="AL1023" s="2441"/>
      <c r="AM1023" s="2441"/>
      <c r="AN1023" s="2441"/>
      <c r="AO1023" s="2441"/>
      <c r="AP1023" s="2441"/>
      <c r="AQ1023" s="2442"/>
      <c r="AR1023" s="1585"/>
      <c r="AS1023" s="1585"/>
      <c r="AT1023" s="1585"/>
      <c r="AU1023" s="1585"/>
      <c r="AV1023" s="1585"/>
      <c r="AW1023" s="1585"/>
      <c r="AX1023" s="1585"/>
      <c r="AY1023" s="1585"/>
      <c r="CR1023" s="25"/>
    </row>
    <row r="1024" spans="1:96" ht="12.75" customHeight="1">
      <c r="A1024" s="51"/>
      <c r="B1024" s="117"/>
      <c r="C1024" s="198" t="s">
        <v>2185</v>
      </c>
      <c r="D1024" s="2369" t="s">
        <v>2457</v>
      </c>
      <c r="E1024" s="2370"/>
      <c r="F1024" s="2370"/>
      <c r="G1024" s="2370"/>
      <c r="H1024" s="2370"/>
      <c r="I1024" s="2370"/>
      <c r="J1024" s="2370"/>
      <c r="K1024" s="2370"/>
      <c r="L1024" s="2370"/>
      <c r="M1024" s="2370"/>
      <c r="N1024" s="2370"/>
      <c r="O1024" s="2370"/>
      <c r="P1024" s="2370"/>
      <c r="Q1024" s="2370"/>
      <c r="R1024" s="2370"/>
      <c r="S1024" s="2370"/>
      <c r="T1024" s="2370"/>
      <c r="U1024" s="2370"/>
      <c r="V1024" s="2370"/>
      <c r="W1024" s="2370"/>
      <c r="X1024" s="2370"/>
      <c r="Y1024" s="2370"/>
      <c r="Z1024" s="2370"/>
      <c r="AA1024" s="2370"/>
      <c r="AB1024" s="2370"/>
      <c r="AC1024" s="2370"/>
      <c r="AD1024" s="2370"/>
      <c r="AE1024" s="2371"/>
      <c r="AF1024" s="117"/>
      <c r="AG1024" s="2365" t="str">
        <f>IF(X1027&gt;0,"Yes","No")</f>
        <v>Yes</v>
      </c>
      <c r="AH1024" s="2366"/>
      <c r="AI1024" s="125"/>
      <c r="AJ1024" s="2409">
        <f>IF((X1027=0),0,BA989*AJ975)</f>
        <v>7065344</v>
      </c>
      <c r="AK1024" s="2410"/>
      <c r="AL1024" s="2410"/>
      <c r="AM1024" s="2410"/>
      <c r="AN1024" s="2410"/>
      <c r="AO1024" s="2410"/>
      <c r="AP1024" s="2410"/>
      <c r="AQ1024" s="2411"/>
      <c r="AR1024" s="1585"/>
      <c r="AS1024" s="1585"/>
      <c r="AT1024" s="1585"/>
      <c r="AU1024" s="1585"/>
      <c r="AV1024" s="1585"/>
      <c r="AW1024" s="1585"/>
      <c r="AX1024" s="1585"/>
      <c r="AY1024" s="1585"/>
    </row>
    <row r="1025" spans="1:96" ht="12.75" customHeight="1">
      <c r="A1025" s="51"/>
      <c r="B1025" s="110"/>
      <c r="C1025" s="703"/>
      <c r="D1025" s="2397" t="s">
        <v>1557</v>
      </c>
      <c r="E1025" s="2398"/>
      <c r="F1025" s="2398"/>
      <c r="G1025" s="2398"/>
      <c r="H1025" s="2398"/>
      <c r="I1025" s="2398"/>
      <c r="J1025" s="2398"/>
      <c r="K1025" s="2398"/>
      <c r="L1025" s="2398"/>
      <c r="M1025" s="2398"/>
      <c r="N1025" s="2398"/>
      <c r="O1025" s="2398"/>
      <c r="P1025" s="2398"/>
      <c r="Q1025" s="2398"/>
      <c r="R1025" s="2398"/>
      <c r="S1025" s="2398"/>
      <c r="T1025" s="2398"/>
      <c r="U1025" s="2398"/>
      <c r="V1025" s="2398"/>
      <c r="W1025" s="2398"/>
      <c r="X1025" s="2398"/>
      <c r="Y1025" s="2398"/>
      <c r="Z1025" s="2398"/>
      <c r="AA1025" s="2398"/>
      <c r="AB1025" s="2398"/>
      <c r="AC1025" s="2398"/>
      <c r="AD1025" s="2398"/>
      <c r="AE1025" s="2399"/>
      <c r="AF1025" s="110"/>
      <c r="AG1025" s="704"/>
      <c r="AH1025" s="704"/>
      <c r="AI1025" s="121"/>
      <c r="AJ1025" s="2412"/>
      <c r="AK1025" s="2413"/>
      <c r="AL1025" s="2413"/>
      <c r="AM1025" s="2413"/>
      <c r="AN1025" s="2413"/>
      <c r="AO1025" s="2413"/>
      <c r="AP1025" s="2413"/>
      <c r="AQ1025" s="2414"/>
      <c r="AR1025" s="1585"/>
      <c r="AS1025" s="1585"/>
      <c r="AT1025" s="1585"/>
      <c r="AU1025" s="1585"/>
      <c r="AV1025" s="1585"/>
      <c r="AW1025" s="1585"/>
      <c r="AX1025" s="1585"/>
      <c r="AY1025" s="1585"/>
    </row>
    <row r="1026" spans="1:96" ht="12.75" customHeight="1">
      <c r="A1026" s="51"/>
      <c r="B1026" s="110"/>
      <c r="C1026" s="703"/>
      <c r="D1026" s="2397"/>
      <c r="E1026" s="2398"/>
      <c r="F1026" s="2398"/>
      <c r="G1026" s="2398"/>
      <c r="H1026" s="2398"/>
      <c r="I1026" s="2398"/>
      <c r="J1026" s="2398"/>
      <c r="K1026" s="2398"/>
      <c r="L1026" s="2398"/>
      <c r="M1026" s="2398"/>
      <c r="N1026" s="2398"/>
      <c r="O1026" s="2398"/>
      <c r="P1026" s="2398"/>
      <c r="Q1026" s="2398"/>
      <c r="R1026" s="2398"/>
      <c r="S1026" s="2398"/>
      <c r="T1026" s="2398"/>
      <c r="U1026" s="2398"/>
      <c r="V1026" s="2398"/>
      <c r="W1026" s="2398"/>
      <c r="X1026" s="2398"/>
      <c r="Y1026" s="2398"/>
      <c r="Z1026" s="2398"/>
      <c r="AA1026" s="2398"/>
      <c r="AB1026" s="2398"/>
      <c r="AC1026" s="2398"/>
      <c r="AD1026" s="2398"/>
      <c r="AE1026" s="2399"/>
      <c r="AF1026" s="110"/>
      <c r="AG1026" s="704"/>
      <c r="AH1026" s="704"/>
      <c r="AI1026" s="121"/>
      <c r="AJ1026" s="2412"/>
      <c r="AK1026" s="2413"/>
      <c r="AL1026" s="2413"/>
      <c r="AM1026" s="2413"/>
      <c r="AN1026" s="2413"/>
      <c r="AO1026" s="2413"/>
      <c r="AP1026" s="2413"/>
      <c r="AQ1026" s="2414"/>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402">
        <f>BA987</f>
        <v>133</v>
      </c>
      <c r="J1027" s="2403"/>
      <c r="K1027" s="11"/>
      <c r="L1027" s="200"/>
      <c r="M1027" s="200"/>
      <c r="N1027" s="200"/>
      <c r="O1027" s="200"/>
      <c r="P1027" s="200"/>
      <c r="Q1027" s="200"/>
      <c r="R1027" s="200"/>
      <c r="S1027" s="200"/>
      <c r="T1027" s="200"/>
      <c r="U1027" s="200"/>
      <c r="V1027" s="201" t="s">
        <v>1055</v>
      </c>
      <c r="W1027" s="80"/>
      <c r="X1027" s="2400">
        <f>BG635</f>
        <v>14</v>
      </c>
      <c r="Y1027" s="2401"/>
      <c r="Z1027" s="80"/>
      <c r="AA1027" s="80"/>
      <c r="AB1027" s="80"/>
      <c r="AC1027" s="80"/>
      <c r="AD1027" s="80"/>
      <c r="AE1027" s="81"/>
      <c r="AF1027" s="1624"/>
      <c r="AG1027" s="1625"/>
      <c r="AH1027" s="1625"/>
      <c r="AI1027" s="1626"/>
      <c r="AJ1027" s="2415"/>
      <c r="AK1027" s="2416"/>
      <c r="AL1027" s="2416"/>
      <c r="AM1027" s="2416"/>
      <c r="AN1027" s="2416"/>
      <c r="AO1027" s="2416"/>
      <c r="AP1027" s="2416"/>
      <c r="AQ1027" s="2417"/>
      <c r="AR1027" s="1585"/>
      <c r="AS1027" s="1585"/>
      <c r="AT1027" s="1585"/>
      <c r="AU1027" s="1585"/>
      <c r="AV1027" s="1585"/>
      <c r="AW1027" s="1585"/>
      <c r="AX1027" s="1585"/>
      <c r="AY1027" s="1585"/>
      <c r="CR1027" s="25"/>
    </row>
    <row r="1028" spans="1:96" ht="12.75" customHeight="1">
      <c r="A1028" s="51"/>
      <c r="B1028" s="117"/>
      <c r="C1028" s="198" t="s">
        <v>2186</v>
      </c>
      <c r="D1028" s="2394" t="s">
        <v>2458</v>
      </c>
      <c r="E1028" s="2395"/>
      <c r="F1028" s="2395"/>
      <c r="G1028" s="2395"/>
      <c r="H1028" s="2395"/>
      <c r="I1028" s="2395"/>
      <c r="J1028" s="2395"/>
      <c r="K1028" s="2395"/>
      <c r="L1028" s="2395"/>
      <c r="M1028" s="2395"/>
      <c r="N1028" s="2395"/>
      <c r="O1028" s="2395"/>
      <c r="P1028" s="2395"/>
      <c r="Q1028" s="2395"/>
      <c r="R1028" s="2395"/>
      <c r="S1028" s="2395"/>
      <c r="T1028" s="2395"/>
      <c r="U1028" s="2395"/>
      <c r="V1028" s="2395"/>
      <c r="W1028" s="2395"/>
      <c r="X1028" s="2395"/>
      <c r="Y1028" s="2395"/>
      <c r="Z1028" s="2395"/>
      <c r="AA1028" s="2395"/>
      <c r="AB1028" s="2395"/>
      <c r="AC1028" s="2395"/>
      <c r="AD1028" s="2395"/>
      <c r="AE1028" s="2396"/>
      <c r="AF1028" s="110"/>
      <c r="AG1028" s="2365" t="str">
        <f>IF(X1031&gt;0,"Yes","No")</f>
        <v>Yes</v>
      </c>
      <c r="AH1028" s="2366"/>
      <c r="AI1028" s="121"/>
      <c r="AJ1028" s="2409">
        <f>IF((X1031=0),0,(2*BA990)*AJ975)</f>
        <v>14130688</v>
      </c>
      <c r="AK1028" s="2410"/>
      <c r="AL1028" s="2410"/>
      <c r="AM1028" s="2410"/>
      <c r="AN1028" s="2410"/>
      <c r="AO1028" s="2410"/>
      <c r="AP1028" s="2410"/>
      <c r="AQ1028" s="2411"/>
      <c r="AR1028" s="1585"/>
      <c r="AS1028" s="1585"/>
      <c r="AT1028" s="1585"/>
      <c r="AU1028" s="1585"/>
      <c r="AV1028" s="1585"/>
      <c r="AW1028" s="1585"/>
      <c r="AX1028" s="1585"/>
      <c r="AY1028" s="1585"/>
    </row>
    <row r="1029" spans="1:96" ht="12.75" customHeight="1">
      <c r="A1029" s="51"/>
      <c r="B1029" s="110"/>
      <c r="C1029" s="703"/>
      <c r="D1029" s="2397" t="s">
        <v>1556</v>
      </c>
      <c r="E1029" s="2398"/>
      <c r="F1029" s="2398"/>
      <c r="G1029" s="2398"/>
      <c r="H1029" s="2398"/>
      <c r="I1029" s="2398"/>
      <c r="J1029" s="2398"/>
      <c r="K1029" s="2398"/>
      <c r="L1029" s="2398"/>
      <c r="M1029" s="2398"/>
      <c r="N1029" s="2398"/>
      <c r="O1029" s="2398"/>
      <c r="P1029" s="2398"/>
      <c r="Q1029" s="2398"/>
      <c r="R1029" s="2398"/>
      <c r="S1029" s="2398"/>
      <c r="T1029" s="2398"/>
      <c r="U1029" s="2398"/>
      <c r="V1029" s="2398"/>
      <c r="W1029" s="2398"/>
      <c r="X1029" s="2398"/>
      <c r="Y1029" s="2398"/>
      <c r="Z1029" s="2398"/>
      <c r="AA1029" s="2398"/>
      <c r="AB1029" s="2398"/>
      <c r="AC1029" s="2398"/>
      <c r="AD1029" s="2398"/>
      <c r="AE1029" s="2399"/>
      <c r="AF1029" s="110"/>
      <c r="AG1029" s="704"/>
      <c r="AH1029" s="704"/>
      <c r="AI1029" s="121"/>
      <c r="AJ1029" s="2412"/>
      <c r="AK1029" s="2413"/>
      <c r="AL1029" s="2413"/>
      <c r="AM1029" s="2413"/>
      <c r="AN1029" s="2413"/>
      <c r="AO1029" s="2413"/>
      <c r="AP1029" s="2413"/>
      <c r="AQ1029" s="2414"/>
      <c r="AR1029" s="1585"/>
      <c r="AS1029" s="1585"/>
      <c r="AT1029" s="1585"/>
      <c r="AU1029" s="1585"/>
      <c r="AV1029" s="1585"/>
      <c r="AW1029" s="1585"/>
      <c r="AX1029" s="1585"/>
      <c r="AY1029" s="1585"/>
    </row>
    <row r="1030" spans="1:96" ht="12.75" customHeight="1">
      <c r="A1030" s="51"/>
      <c r="B1030" s="110"/>
      <c r="C1030" s="121"/>
      <c r="D1030" s="2397"/>
      <c r="E1030" s="2398"/>
      <c r="F1030" s="2398"/>
      <c r="G1030" s="2398"/>
      <c r="H1030" s="2398"/>
      <c r="I1030" s="2398"/>
      <c r="J1030" s="2398"/>
      <c r="K1030" s="2398"/>
      <c r="L1030" s="2398"/>
      <c r="M1030" s="2398"/>
      <c r="N1030" s="2398"/>
      <c r="O1030" s="2398"/>
      <c r="P1030" s="2398"/>
      <c r="Q1030" s="2398"/>
      <c r="R1030" s="2398"/>
      <c r="S1030" s="2398"/>
      <c r="T1030" s="2398"/>
      <c r="U1030" s="2398"/>
      <c r="V1030" s="2398"/>
      <c r="W1030" s="2398"/>
      <c r="X1030" s="2398"/>
      <c r="Y1030" s="2398"/>
      <c r="Z1030" s="2398"/>
      <c r="AA1030" s="2398"/>
      <c r="AB1030" s="2398"/>
      <c r="AC1030" s="2398"/>
      <c r="AD1030" s="2398"/>
      <c r="AE1030" s="2399"/>
      <c r="AF1030" s="1621"/>
      <c r="AG1030" s="1622"/>
      <c r="AH1030" s="1622"/>
      <c r="AI1030" s="1623"/>
      <c r="AJ1030" s="2412"/>
      <c r="AK1030" s="2413"/>
      <c r="AL1030" s="2413"/>
      <c r="AM1030" s="2413"/>
      <c r="AN1030" s="2413"/>
      <c r="AO1030" s="2413"/>
      <c r="AP1030" s="2413"/>
      <c r="AQ1030" s="2414"/>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402">
        <f>BA987</f>
        <v>133</v>
      </c>
      <c r="J1031" s="2403"/>
      <c r="K1031" s="51"/>
      <c r="L1031" s="200"/>
      <c r="M1031" s="200"/>
      <c r="N1031" s="200"/>
      <c r="O1031" s="200"/>
      <c r="P1031" s="200"/>
      <c r="Q1031" s="200"/>
      <c r="R1031" s="200"/>
      <c r="S1031" s="200"/>
      <c r="T1031" s="200"/>
      <c r="U1031" s="200"/>
      <c r="V1031" s="201" t="s">
        <v>1056</v>
      </c>
      <c r="X1031" s="2400">
        <f>BK635</f>
        <v>14</v>
      </c>
      <c r="Y1031" s="2401"/>
      <c r="AF1031" s="1624"/>
      <c r="AG1031" s="1625"/>
      <c r="AH1031" s="1625"/>
      <c r="AI1031" s="1626"/>
      <c r="AJ1031" s="2415"/>
      <c r="AK1031" s="2416"/>
      <c r="AL1031" s="2416"/>
      <c r="AM1031" s="2416"/>
      <c r="AN1031" s="2416"/>
      <c r="AO1031" s="2416"/>
      <c r="AP1031" s="2416"/>
      <c r="AQ1031" s="2417"/>
      <c r="AR1031" s="1585"/>
      <c r="AS1031" s="1585"/>
      <c r="AT1031" s="1585"/>
      <c r="AU1031" s="1585"/>
      <c r="AV1031" s="1585"/>
      <c r="AW1031" s="1585"/>
      <c r="AX1031" s="1585"/>
      <c r="AY1031" s="1585"/>
      <c r="CR1031" s="25"/>
    </row>
    <row r="1032" spans="1:96" ht="12.75" customHeight="1">
      <c r="A1032" s="51"/>
      <c r="B1032" s="158"/>
      <c r="C1032" s="159"/>
      <c r="D1032" s="2392" t="s">
        <v>547</v>
      </c>
      <c r="E1032" s="2392"/>
      <c r="F1032" s="2392"/>
      <c r="G1032" s="2392"/>
      <c r="H1032" s="2392"/>
      <c r="I1032" s="2392"/>
      <c r="J1032" s="2392"/>
      <c r="K1032" s="2392"/>
      <c r="L1032" s="2392"/>
      <c r="M1032" s="2392"/>
      <c r="N1032" s="2392"/>
      <c r="O1032" s="2392"/>
      <c r="P1032" s="2392"/>
      <c r="Q1032" s="2392"/>
      <c r="R1032" s="2392"/>
      <c r="S1032" s="2392"/>
      <c r="T1032" s="2392"/>
      <c r="U1032" s="2392"/>
      <c r="V1032" s="2392"/>
      <c r="W1032" s="2392"/>
      <c r="X1032" s="2392"/>
      <c r="Y1032" s="2392"/>
      <c r="Z1032" s="2392"/>
      <c r="AA1032" s="2392"/>
      <c r="AB1032" s="2392"/>
      <c r="AC1032" s="2392"/>
      <c r="AD1032" s="2392"/>
      <c r="AE1032" s="2392"/>
      <c r="AF1032" s="2392"/>
      <c r="AG1032" s="2392"/>
      <c r="AH1032" s="2392"/>
      <c r="AI1032" s="2393"/>
      <c r="AJ1032" s="2418">
        <f>SUM(AJ975:AQ1031)</f>
        <v>104661328</v>
      </c>
      <c r="AK1032" s="2419"/>
      <c r="AL1032" s="2419"/>
      <c r="AM1032" s="2419"/>
      <c r="AN1032" s="2419"/>
      <c r="AO1032" s="2419"/>
      <c r="AP1032" s="2419"/>
      <c r="AQ1032" s="2420"/>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48" t="s">
        <v>1945</v>
      </c>
      <c r="C1034" s="2048"/>
      <c r="D1034" s="2048"/>
      <c r="E1034" s="2048"/>
      <c r="F1034" s="2048"/>
      <c r="G1034" s="2048"/>
      <c r="H1034" s="2048"/>
      <c r="I1034" s="2048"/>
      <c r="J1034" s="2048"/>
      <c r="K1034" s="2048"/>
      <c r="L1034" s="2048"/>
      <c r="M1034" s="2048"/>
      <c r="N1034" s="2048"/>
      <c r="O1034" s="2048"/>
      <c r="P1034" s="2048"/>
      <c r="Q1034" s="2048"/>
      <c r="R1034" s="2048"/>
      <c r="S1034" s="2048"/>
      <c r="T1034" s="2048"/>
      <c r="U1034" s="2048"/>
      <c r="V1034" s="2048"/>
      <c r="W1034" s="2048"/>
      <c r="X1034" s="2048"/>
      <c r="Y1034" s="204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41"/>
      <c r="Y1035" s="2341"/>
      <c r="Z1035" s="2341"/>
      <c r="AA1035" s="2341"/>
      <c r="AB1035" s="2341"/>
      <c r="AC1035" s="2341"/>
      <c r="AD1035" s="2080">
        <f>R971</f>
        <v>416000</v>
      </c>
      <c r="AE1035" s="2081"/>
      <c r="AF1035" s="2081"/>
      <c r="AG1035" s="2081"/>
      <c r="AH1035" s="2081"/>
      <c r="AI1035" s="2081"/>
      <c r="AJ1035" s="2081"/>
      <c r="AK1035" s="2081"/>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42"/>
      <c r="Y1036" s="2342"/>
      <c r="Z1036" s="2342"/>
      <c r="AA1036" s="2342"/>
      <c r="AB1036" s="2342"/>
      <c r="AC1036" s="2342"/>
      <c r="AD1036" s="2047">
        <f>MIN((BR809:BR866))</f>
        <v>318400</v>
      </c>
      <c r="AE1036" s="2047"/>
      <c r="AF1036" s="2047"/>
      <c r="AG1036" s="2047"/>
      <c r="AH1036" s="2047"/>
      <c r="AI1036" s="2047"/>
      <c r="AJ1036" s="2047"/>
      <c r="AK1036" s="2047"/>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082" t="s">
        <v>1948</v>
      </c>
      <c r="C1037" s="2082"/>
      <c r="D1037" s="2082"/>
      <c r="E1037" s="2082"/>
      <c r="F1037" s="2082"/>
      <c r="G1037" s="2082"/>
      <c r="H1037" s="2082"/>
      <c r="I1037" s="2082"/>
      <c r="J1037" s="2082"/>
      <c r="K1037" s="2082"/>
      <c r="L1037" s="2082"/>
      <c r="M1037" s="2082"/>
      <c r="N1037" s="2082"/>
      <c r="O1037" s="2082"/>
      <c r="P1037" s="2082"/>
      <c r="Q1037" s="2082"/>
      <c r="R1037" s="2082"/>
      <c r="S1037" s="2082"/>
      <c r="T1037" s="2082"/>
      <c r="U1037" s="2082"/>
      <c r="V1037" s="2082"/>
      <c r="W1037" s="2082"/>
      <c r="X1037" s="2082"/>
      <c r="Y1037" s="2082"/>
      <c r="Z1037" s="1418"/>
      <c r="AA1037" s="1418"/>
      <c r="AB1037" s="1418"/>
      <c r="AC1037" s="1418"/>
      <c r="AD1037" s="2077">
        <f>IF(((AD1035-AD1036)/AD1036)&gt;0.3,0.3,((AD1035-AD1036)/AD1036))</f>
        <v>0.3</v>
      </c>
      <c r="AE1037" s="2078"/>
      <c r="AF1037" s="2078"/>
      <c r="AG1037" s="2078"/>
      <c r="AH1037" s="2078"/>
      <c r="AI1037" s="2078"/>
      <c r="AJ1037" s="2078"/>
      <c r="AK1037" s="207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56">
        <f>IF(ISNA(IF((AJ999&gt;(AJ975*0.15)),"(f) cannot be greater than 15% of unadjusted eligible basis.",0)),"",(IF((AJ999&gt;(AJ975*0.15)),"(f) cannot be greater than 15% of unadjusted eligible basis.",0)))</f>
        <v>0</v>
      </c>
      <c r="C1039" s="2356"/>
      <c r="D1039" s="2356"/>
      <c r="E1039" s="2356"/>
      <c r="F1039" s="2356"/>
      <c r="G1039" s="2356"/>
      <c r="H1039" s="2356"/>
      <c r="I1039" s="2356"/>
      <c r="J1039" s="2356"/>
      <c r="K1039" s="2356"/>
      <c r="L1039" s="2356"/>
      <c r="M1039" s="2356"/>
      <c r="N1039" s="2356"/>
      <c r="O1039" s="2356"/>
      <c r="P1039" s="2356"/>
      <c r="Q1039" s="2356"/>
      <c r="R1039" s="2356"/>
      <c r="S1039" s="2356"/>
      <c r="T1039" s="2356"/>
      <c r="U1039" s="2356"/>
      <c r="V1039" s="2356"/>
      <c r="W1039" s="2356"/>
      <c r="X1039" s="2356"/>
      <c r="Y1039" s="2356"/>
      <c r="Z1039" s="2356"/>
      <c r="AA1039" s="2356"/>
      <c r="AB1039" s="2356"/>
      <c r="AC1039" s="2356"/>
      <c r="AD1039" s="2356"/>
      <c r="AE1039" s="2356"/>
      <c r="AF1039" s="2356"/>
      <c r="AG1039" s="2356"/>
      <c r="AH1039" s="2356"/>
      <c r="AI1039" s="2356"/>
      <c r="AJ1039" s="2356"/>
      <c r="AK1039" s="2356"/>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289" t="s">
        <v>855</v>
      </c>
      <c r="B1040" s="2289"/>
      <c r="C1040" s="2289"/>
      <c r="D1040" s="2289"/>
      <c r="E1040" s="2289"/>
      <c r="F1040" s="2289"/>
      <c r="G1040" s="2289"/>
      <c r="H1040" s="2289"/>
      <c r="I1040" s="2289"/>
      <c r="J1040" s="2289"/>
      <c r="K1040" s="2289"/>
      <c r="L1040" s="2289"/>
      <c r="M1040" s="2289"/>
      <c r="N1040" s="2289"/>
      <c r="O1040" s="2289"/>
      <c r="P1040" s="2289"/>
      <c r="Q1040" s="2289"/>
      <c r="R1040" s="2289"/>
      <c r="S1040" s="2289"/>
      <c r="T1040" s="2289"/>
      <c r="U1040" s="2289"/>
      <c r="V1040" s="2289"/>
      <c r="W1040" s="2289"/>
      <c r="X1040" s="2289"/>
      <c r="Y1040" s="2289"/>
      <c r="Z1040" s="2289"/>
      <c r="AA1040" s="2289"/>
      <c r="AB1040" s="2289"/>
      <c r="AC1040" s="2289"/>
      <c r="AD1040" s="2289"/>
      <c r="AE1040" s="2289"/>
      <c r="AF1040" s="2289"/>
      <c r="AG1040" s="2289"/>
      <c r="AH1040" s="2289"/>
      <c r="AI1040" s="2289"/>
      <c r="AJ1040" s="2289"/>
      <c r="AK1040" s="2289"/>
      <c r="AL1040" s="228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61" t="s">
        <v>627</v>
      </c>
      <c r="B1044" s="1961"/>
      <c r="C1044" s="13">
        <v>1</v>
      </c>
      <c r="D1044" s="1871" t="s">
        <v>1226</v>
      </c>
      <c r="E1044" s="1871"/>
      <c r="F1044" s="1871"/>
      <c r="G1044" s="1871"/>
      <c r="H1044" s="1871"/>
      <c r="I1044" s="1871"/>
      <c r="J1044" s="1871"/>
      <c r="K1044" s="1871"/>
      <c r="L1044" s="1871"/>
      <c r="M1044" s="1871"/>
      <c r="N1044" s="1871"/>
      <c r="O1044" s="1871"/>
      <c r="P1044" s="1871"/>
      <c r="Q1044" s="1871"/>
      <c r="R1044" s="1871"/>
      <c r="S1044" s="1871"/>
      <c r="T1044" s="1871"/>
      <c r="U1044" s="1871"/>
      <c r="V1044" s="1871"/>
      <c r="W1044" s="1871"/>
      <c r="X1044" s="1871"/>
      <c r="Y1044" s="1871"/>
      <c r="Z1044" s="1871"/>
      <c r="AA1044" s="1871"/>
      <c r="AB1044" s="1871"/>
      <c r="AC1044" s="1871"/>
      <c r="AD1044" s="1871"/>
      <c r="AE1044" s="1871"/>
      <c r="AF1044" s="1871"/>
      <c r="AG1044" s="1871"/>
      <c r="AH1044" s="1871"/>
      <c r="AI1044" s="1871"/>
      <c r="AJ1044" s="1871"/>
      <c r="AK1044" s="1871"/>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1"/>
      <c r="E1045" s="1871"/>
      <c r="F1045" s="1871"/>
      <c r="G1045" s="1871"/>
      <c r="H1045" s="1871"/>
      <c r="I1045" s="1871"/>
      <c r="J1045" s="1871"/>
      <c r="K1045" s="1871"/>
      <c r="L1045" s="1871"/>
      <c r="M1045" s="1871"/>
      <c r="N1045" s="1871"/>
      <c r="O1045" s="1871"/>
      <c r="P1045" s="1871"/>
      <c r="Q1045" s="1871"/>
      <c r="R1045" s="1871"/>
      <c r="S1045" s="1871"/>
      <c r="T1045" s="1871"/>
      <c r="U1045" s="1871"/>
      <c r="V1045" s="1871"/>
      <c r="W1045" s="1871"/>
      <c r="X1045" s="1871"/>
      <c r="Y1045" s="1871"/>
      <c r="Z1045" s="1871"/>
      <c r="AA1045" s="1871"/>
      <c r="AB1045" s="1871"/>
      <c r="AC1045" s="1871"/>
      <c r="AD1045" s="1871"/>
      <c r="AE1045" s="1871"/>
      <c r="AF1045" s="1871"/>
      <c r="AG1045" s="1871"/>
      <c r="AH1045" s="1871"/>
      <c r="AI1045" s="1871"/>
      <c r="AJ1045" s="1871"/>
      <c r="AK1045" s="1871"/>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1"/>
      <c r="E1046" s="1871"/>
      <c r="F1046" s="1871"/>
      <c r="G1046" s="1871"/>
      <c r="H1046" s="1871"/>
      <c r="I1046" s="1871"/>
      <c r="J1046" s="1871"/>
      <c r="K1046" s="1871"/>
      <c r="L1046" s="1871"/>
      <c r="M1046" s="1871"/>
      <c r="N1046" s="1871"/>
      <c r="O1046" s="1871"/>
      <c r="P1046" s="1871"/>
      <c r="Q1046" s="1871"/>
      <c r="R1046" s="1871"/>
      <c r="S1046" s="1871"/>
      <c r="T1046" s="1871"/>
      <c r="U1046" s="1871"/>
      <c r="V1046" s="1871"/>
      <c r="W1046" s="1871"/>
      <c r="X1046" s="1871"/>
      <c r="Y1046" s="1871"/>
      <c r="Z1046" s="1871"/>
      <c r="AA1046" s="1871"/>
      <c r="AB1046" s="1871"/>
      <c r="AC1046" s="1871"/>
      <c r="AD1046" s="1871"/>
      <c r="AE1046" s="1871"/>
      <c r="AF1046" s="1871"/>
      <c r="AG1046" s="1871"/>
      <c r="AH1046" s="1871"/>
      <c r="AI1046" s="1871"/>
      <c r="AJ1046" s="1871"/>
      <c r="AK1046" s="1871"/>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1"/>
      <c r="E1047" s="1871"/>
      <c r="F1047" s="1871"/>
      <c r="G1047" s="1871"/>
      <c r="H1047" s="1871"/>
      <c r="I1047" s="1871"/>
      <c r="J1047" s="1871"/>
      <c r="K1047" s="1871"/>
      <c r="L1047" s="1871"/>
      <c r="M1047" s="1871"/>
      <c r="N1047" s="1871"/>
      <c r="O1047" s="1871"/>
      <c r="P1047" s="1871"/>
      <c r="Q1047" s="1871"/>
      <c r="R1047" s="1871"/>
      <c r="S1047" s="1871"/>
      <c r="T1047" s="1871"/>
      <c r="U1047" s="1871"/>
      <c r="V1047" s="1871"/>
      <c r="W1047" s="1871"/>
      <c r="X1047" s="1871"/>
      <c r="Y1047" s="1871"/>
      <c r="Z1047" s="1871"/>
      <c r="AA1047" s="1871"/>
      <c r="AB1047" s="1871"/>
      <c r="AC1047" s="1871"/>
      <c r="AD1047" s="1871"/>
      <c r="AE1047" s="1871"/>
      <c r="AF1047" s="1871"/>
      <c r="AG1047" s="1871"/>
      <c r="AH1047" s="1871"/>
      <c r="AI1047" s="1871"/>
      <c r="AJ1047" s="1871"/>
      <c r="AK1047" s="1871"/>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1"/>
      <c r="E1048" s="1871"/>
      <c r="F1048" s="1871"/>
      <c r="G1048" s="1871"/>
      <c r="H1048" s="1871"/>
      <c r="I1048" s="1871"/>
      <c r="J1048" s="1871"/>
      <c r="K1048" s="1871"/>
      <c r="L1048" s="1871"/>
      <c r="M1048" s="1871"/>
      <c r="N1048" s="1871"/>
      <c r="O1048" s="1871"/>
      <c r="P1048" s="1871"/>
      <c r="Q1048" s="1871"/>
      <c r="R1048" s="1871"/>
      <c r="S1048" s="1871"/>
      <c r="T1048" s="1871"/>
      <c r="U1048" s="1871"/>
      <c r="V1048" s="1871"/>
      <c r="W1048" s="1871"/>
      <c r="X1048" s="1871"/>
      <c r="Y1048" s="1871"/>
      <c r="Z1048" s="1871"/>
      <c r="AA1048" s="1871"/>
      <c r="AB1048" s="1871"/>
      <c r="AC1048" s="1871"/>
      <c r="AD1048" s="1871"/>
      <c r="AE1048" s="1871"/>
      <c r="AF1048" s="1871"/>
      <c r="AG1048" s="1871"/>
      <c r="AH1048" s="1871"/>
      <c r="AI1048" s="1871"/>
      <c r="AJ1048" s="1871"/>
      <c r="AK1048" s="1871"/>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1"/>
      <c r="E1049" s="1871"/>
      <c r="F1049" s="1871"/>
      <c r="G1049" s="1871"/>
      <c r="H1049" s="1871"/>
      <c r="I1049" s="1871"/>
      <c r="J1049" s="1871"/>
      <c r="K1049" s="1871"/>
      <c r="L1049" s="1871"/>
      <c r="M1049" s="1871"/>
      <c r="N1049" s="1871"/>
      <c r="O1049" s="1871"/>
      <c r="P1049" s="1871"/>
      <c r="Q1049" s="1871"/>
      <c r="R1049" s="1871"/>
      <c r="S1049" s="1871"/>
      <c r="T1049" s="1871"/>
      <c r="U1049" s="1871"/>
      <c r="V1049" s="1871"/>
      <c r="W1049" s="1871"/>
      <c r="X1049" s="1871"/>
      <c r="Y1049" s="1871"/>
      <c r="Z1049" s="1871"/>
      <c r="AA1049" s="1871"/>
      <c r="AB1049" s="1871"/>
      <c r="AC1049" s="1871"/>
      <c r="AD1049" s="1871"/>
      <c r="AE1049" s="1871"/>
      <c r="AF1049" s="1871"/>
      <c r="AG1049" s="1871"/>
      <c r="AH1049" s="1871"/>
      <c r="AI1049" s="1871"/>
      <c r="AJ1049" s="1871"/>
      <c r="AK1049" s="1871"/>
      <c r="AL1049" s="105"/>
      <c r="AM1049" s="1585"/>
      <c r="AN1049" s="1585"/>
      <c r="AO1049" s="1585"/>
      <c r="AP1049" s="1585"/>
      <c r="AQ1049" s="1585"/>
      <c r="AR1049" s="1585"/>
      <c r="AS1049" s="1585"/>
      <c r="AT1049" s="1585"/>
      <c r="AU1049" s="1585"/>
      <c r="AV1049" s="1585"/>
      <c r="AW1049" s="1585"/>
      <c r="AX1049" s="1585"/>
      <c r="AY1049" s="1585"/>
    </row>
    <row r="1050" spans="1:51" ht="12.6" customHeight="1">
      <c r="A1050" s="1961" t="s">
        <v>627</v>
      </c>
      <c r="B1050" s="1961"/>
      <c r="C1050" s="13">
        <v>2</v>
      </c>
      <c r="D1050" s="1871" t="s">
        <v>1225</v>
      </c>
      <c r="E1050" s="1871"/>
      <c r="F1050" s="1871"/>
      <c r="G1050" s="1871"/>
      <c r="H1050" s="1871"/>
      <c r="I1050" s="1871"/>
      <c r="J1050" s="1871"/>
      <c r="K1050" s="1871"/>
      <c r="L1050" s="1871"/>
      <c r="M1050" s="1871"/>
      <c r="N1050" s="1871"/>
      <c r="O1050" s="1871"/>
      <c r="P1050" s="1871"/>
      <c r="Q1050" s="1871"/>
      <c r="R1050" s="1871"/>
      <c r="S1050" s="1871"/>
      <c r="T1050" s="1871"/>
      <c r="U1050" s="1871"/>
      <c r="V1050" s="1871"/>
      <c r="W1050" s="1871"/>
      <c r="X1050" s="1871"/>
      <c r="Y1050" s="1871"/>
      <c r="Z1050" s="1871"/>
      <c r="AA1050" s="1871"/>
      <c r="AB1050" s="1871"/>
      <c r="AC1050" s="1871"/>
      <c r="AD1050" s="1871"/>
      <c r="AE1050" s="1871"/>
      <c r="AF1050" s="1871"/>
      <c r="AG1050" s="1871"/>
      <c r="AH1050" s="1871"/>
      <c r="AI1050" s="1871"/>
      <c r="AJ1050" s="1871"/>
      <c r="AK1050" s="1871"/>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1"/>
      <c r="E1051" s="1871"/>
      <c r="F1051" s="1871"/>
      <c r="G1051" s="1871"/>
      <c r="H1051" s="1871"/>
      <c r="I1051" s="1871"/>
      <c r="J1051" s="1871"/>
      <c r="K1051" s="1871"/>
      <c r="L1051" s="1871"/>
      <c r="M1051" s="1871"/>
      <c r="N1051" s="1871"/>
      <c r="O1051" s="1871"/>
      <c r="P1051" s="1871"/>
      <c r="Q1051" s="1871"/>
      <c r="R1051" s="1871"/>
      <c r="S1051" s="1871"/>
      <c r="T1051" s="1871"/>
      <c r="U1051" s="1871"/>
      <c r="V1051" s="1871"/>
      <c r="W1051" s="1871"/>
      <c r="X1051" s="1871"/>
      <c r="Y1051" s="1871"/>
      <c r="Z1051" s="1871"/>
      <c r="AA1051" s="1871"/>
      <c r="AB1051" s="1871"/>
      <c r="AC1051" s="1871"/>
      <c r="AD1051" s="1871"/>
      <c r="AE1051" s="1871"/>
      <c r="AF1051" s="1871"/>
      <c r="AG1051" s="1871"/>
      <c r="AH1051" s="1871"/>
      <c r="AI1051" s="1871"/>
      <c r="AJ1051" s="1871"/>
      <c r="AK1051" s="1871"/>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1"/>
      <c r="E1052" s="1871"/>
      <c r="F1052" s="1871"/>
      <c r="G1052" s="1871"/>
      <c r="H1052" s="1871"/>
      <c r="I1052" s="1871"/>
      <c r="J1052" s="1871"/>
      <c r="K1052" s="1871"/>
      <c r="L1052" s="1871"/>
      <c r="M1052" s="1871"/>
      <c r="N1052" s="1871"/>
      <c r="O1052" s="1871"/>
      <c r="P1052" s="1871"/>
      <c r="Q1052" s="1871"/>
      <c r="R1052" s="1871"/>
      <c r="S1052" s="1871"/>
      <c r="T1052" s="1871"/>
      <c r="U1052" s="1871"/>
      <c r="V1052" s="1871"/>
      <c r="W1052" s="1871"/>
      <c r="X1052" s="1871"/>
      <c r="Y1052" s="1871"/>
      <c r="Z1052" s="1871"/>
      <c r="AA1052" s="1871"/>
      <c r="AB1052" s="1871"/>
      <c r="AC1052" s="1871"/>
      <c r="AD1052" s="1871"/>
      <c r="AE1052" s="1871"/>
      <c r="AF1052" s="1871"/>
      <c r="AG1052" s="1871"/>
      <c r="AH1052" s="1871"/>
      <c r="AI1052" s="1871"/>
      <c r="AJ1052" s="1871"/>
      <c r="AK1052" s="1871"/>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1"/>
      <c r="E1053" s="1871"/>
      <c r="F1053" s="1871"/>
      <c r="G1053" s="1871"/>
      <c r="H1053" s="1871"/>
      <c r="I1053" s="1871"/>
      <c r="J1053" s="1871"/>
      <c r="K1053" s="1871"/>
      <c r="L1053" s="1871"/>
      <c r="M1053" s="1871"/>
      <c r="N1053" s="1871"/>
      <c r="O1053" s="1871"/>
      <c r="P1053" s="1871"/>
      <c r="Q1053" s="1871"/>
      <c r="R1053" s="1871"/>
      <c r="S1053" s="1871"/>
      <c r="T1053" s="1871"/>
      <c r="U1053" s="1871"/>
      <c r="V1053" s="1871"/>
      <c r="W1053" s="1871"/>
      <c r="X1053" s="1871"/>
      <c r="Y1053" s="1871"/>
      <c r="Z1053" s="1871"/>
      <c r="AA1053" s="1871"/>
      <c r="AB1053" s="1871"/>
      <c r="AC1053" s="1871"/>
      <c r="AD1053" s="1871"/>
      <c r="AE1053" s="1871"/>
      <c r="AF1053" s="1871"/>
      <c r="AG1053" s="1871"/>
      <c r="AH1053" s="1871"/>
      <c r="AI1053" s="1871"/>
      <c r="AJ1053" s="1871"/>
      <c r="AK1053" s="1871"/>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1"/>
      <c r="E1054" s="1871"/>
      <c r="F1054" s="1871"/>
      <c r="G1054" s="1871"/>
      <c r="H1054" s="1871"/>
      <c r="I1054" s="1871"/>
      <c r="J1054" s="1871"/>
      <c r="K1054" s="1871"/>
      <c r="L1054" s="1871"/>
      <c r="M1054" s="1871"/>
      <c r="N1054" s="1871"/>
      <c r="O1054" s="1871"/>
      <c r="P1054" s="1871"/>
      <c r="Q1054" s="1871"/>
      <c r="R1054" s="1871"/>
      <c r="S1054" s="1871"/>
      <c r="T1054" s="1871"/>
      <c r="U1054" s="1871"/>
      <c r="V1054" s="1871"/>
      <c r="W1054" s="1871"/>
      <c r="X1054" s="1871"/>
      <c r="Y1054" s="1871"/>
      <c r="Z1054" s="1871"/>
      <c r="AA1054" s="1871"/>
      <c r="AB1054" s="1871"/>
      <c r="AC1054" s="1871"/>
      <c r="AD1054" s="1871"/>
      <c r="AE1054" s="1871"/>
      <c r="AF1054" s="1871"/>
      <c r="AG1054" s="1871"/>
      <c r="AH1054" s="1871"/>
      <c r="AI1054" s="1871"/>
      <c r="AJ1054" s="1871"/>
      <c r="AK1054" s="1871"/>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1"/>
      <c r="E1055" s="1871"/>
      <c r="F1055" s="1871"/>
      <c r="G1055" s="1871"/>
      <c r="H1055" s="1871"/>
      <c r="I1055" s="1871"/>
      <c r="J1055" s="1871"/>
      <c r="K1055" s="1871"/>
      <c r="L1055" s="1871"/>
      <c r="M1055" s="1871"/>
      <c r="N1055" s="1871"/>
      <c r="O1055" s="1871"/>
      <c r="P1055" s="1871"/>
      <c r="Q1055" s="1871"/>
      <c r="R1055" s="1871"/>
      <c r="S1055" s="1871"/>
      <c r="T1055" s="1871"/>
      <c r="U1055" s="1871"/>
      <c r="V1055" s="1871"/>
      <c r="W1055" s="1871"/>
      <c r="X1055" s="1871"/>
      <c r="Y1055" s="1871"/>
      <c r="Z1055" s="1871"/>
      <c r="AA1055" s="1871"/>
      <c r="AB1055" s="1871"/>
      <c r="AC1055" s="1871"/>
      <c r="AD1055" s="1871"/>
      <c r="AE1055" s="1871"/>
      <c r="AF1055" s="1871"/>
      <c r="AG1055" s="1871"/>
      <c r="AH1055" s="1871"/>
      <c r="AI1055" s="1871"/>
      <c r="AJ1055" s="1871"/>
      <c r="AK1055" s="1871"/>
    </row>
    <row r="1056" spans="1:51" ht="12.6" customHeight="1">
      <c r="A1056" s="1961" t="s">
        <v>627</v>
      </c>
      <c r="B1056" s="1961"/>
      <c r="C1056" s="13">
        <v>3</v>
      </c>
      <c r="D1056" s="1871" t="s">
        <v>1539</v>
      </c>
      <c r="E1056" s="1871"/>
      <c r="F1056" s="1871"/>
      <c r="G1056" s="1871"/>
      <c r="H1056" s="1871"/>
      <c r="I1056" s="1871"/>
      <c r="J1056" s="1871"/>
      <c r="K1056" s="1871"/>
      <c r="L1056" s="1871"/>
      <c r="M1056" s="1871"/>
      <c r="N1056" s="1871"/>
      <c r="O1056" s="1871"/>
      <c r="P1056" s="1871"/>
      <c r="Q1056" s="1871"/>
      <c r="R1056" s="1871"/>
      <c r="S1056" s="1871"/>
      <c r="T1056" s="1871"/>
      <c r="U1056" s="1871"/>
      <c r="V1056" s="1871"/>
      <c r="W1056" s="1871"/>
      <c r="X1056" s="1871"/>
      <c r="Y1056" s="1871"/>
      <c r="Z1056" s="1871"/>
      <c r="AA1056" s="1871"/>
      <c r="AB1056" s="1871"/>
      <c r="AC1056" s="1871"/>
      <c r="AD1056" s="1871"/>
      <c r="AE1056" s="1871"/>
      <c r="AF1056" s="1871"/>
      <c r="AG1056" s="1871"/>
      <c r="AH1056" s="1871"/>
      <c r="AI1056" s="1871"/>
      <c r="AJ1056" s="1871"/>
      <c r="AK1056" s="1871"/>
    </row>
    <row r="1057" spans="1:96" ht="12.6" customHeight="1">
      <c r="A1057" s="130"/>
      <c r="B1057" s="130"/>
      <c r="C1057" s="13"/>
      <c r="D1057" s="1871"/>
      <c r="E1057" s="1871"/>
      <c r="F1057" s="1871"/>
      <c r="G1057" s="1871"/>
      <c r="H1057" s="1871"/>
      <c r="I1057" s="1871"/>
      <c r="J1057" s="1871"/>
      <c r="K1057" s="1871"/>
      <c r="L1057" s="1871"/>
      <c r="M1057" s="1871"/>
      <c r="N1057" s="1871"/>
      <c r="O1057" s="1871"/>
      <c r="P1057" s="1871"/>
      <c r="Q1057" s="1871"/>
      <c r="R1057" s="1871"/>
      <c r="S1057" s="1871"/>
      <c r="T1057" s="1871"/>
      <c r="U1057" s="1871"/>
      <c r="V1057" s="1871"/>
      <c r="W1057" s="1871"/>
      <c r="X1057" s="1871"/>
      <c r="Y1057" s="1871"/>
      <c r="Z1057" s="1871"/>
      <c r="AA1057" s="1871"/>
      <c r="AB1057" s="1871"/>
      <c r="AC1057" s="1871"/>
      <c r="AD1057" s="1871"/>
      <c r="AE1057" s="1871"/>
      <c r="AF1057" s="1871"/>
      <c r="AG1057" s="1871"/>
      <c r="AH1057" s="1871"/>
      <c r="AI1057" s="1871"/>
      <c r="AJ1057" s="1871"/>
      <c r="AK1057" s="1871"/>
      <c r="AL1057" s="720"/>
    </row>
    <row r="1058" spans="1:96" ht="12.6" customHeight="1">
      <c r="A1058" s="130"/>
      <c r="B1058" s="130"/>
      <c r="C1058" s="13"/>
      <c r="D1058" s="1871"/>
      <c r="E1058" s="1871"/>
      <c r="F1058" s="1871"/>
      <c r="G1058" s="1871"/>
      <c r="H1058" s="1871"/>
      <c r="I1058" s="1871"/>
      <c r="J1058" s="1871"/>
      <c r="K1058" s="1871"/>
      <c r="L1058" s="1871"/>
      <c r="M1058" s="1871"/>
      <c r="N1058" s="1871"/>
      <c r="O1058" s="1871"/>
      <c r="P1058" s="1871"/>
      <c r="Q1058" s="1871"/>
      <c r="R1058" s="1871"/>
      <c r="S1058" s="1871"/>
      <c r="T1058" s="1871"/>
      <c r="U1058" s="1871"/>
      <c r="V1058" s="1871"/>
      <c r="W1058" s="1871"/>
      <c r="X1058" s="1871"/>
      <c r="Y1058" s="1871"/>
      <c r="Z1058" s="1871"/>
      <c r="AA1058" s="1871"/>
      <c r="AB1058" s="1871"/>
      <c r="AC1058" s="1871"/>
      <c r="AD1058" s="1871"/>
      <c r="AE1058" s="1871"/>
      <c r="AF1058" s="1871"/>
      <c r="AG1058" s="1871"/>
      <c r="AH1058" s="1871"/>
      <c r="AI1058" s="1871"/>
      <c r="AJ1058" s="1871"/>
      <c r="AK1058" s="1871"/>
    </row>
    <row r="1059" spans="1:96" s="720" customFormat="1" ht="12.6" customHeight="1">
      <c r="A1059" s="62"/>
      <c r="B1059" s="66"/>
      <c r="C1059" s="13"/>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1"/>
      <c r="E1060" s="1871"/>
      <c r="F1060" s="1871"/>
      <c r="G1060" s="1871"/>
      <c r="H1060" s="1871"/>
      <c r="I1060" s="1871"/>
      <c r="J1060" s="1871"/>
      <c r="K1060" s="1871"/>
      <c r="L1060" s="1871"/>
      <c r="M1060" s="1871"/>
      <c r="N1060" s="1871"/>
      <c r="O1060" s="1871"/>
      <c r="P1060" s="1871"/>
      <c r="Q1060" s="1871"/>
      <c r="R1060" s="1871"/>
      <c r="S1060" s="1871"/>
      <c r="T1060" s="1871"/>
      <c r="U1060" s="1871"/>
      <c r="V1060" s="1871"/>
      <c r="W1060" s="1871"/>
      <c r="X1060" s="1871"/>
      <c r="Y1060" s="1871"/>
      <c r="Z1060" s="1871"/>
      <c r="AA1060" s="1871"/>
      <c r="AB1060" s="1871"/>
      <c r="AC1060" s="1871"/>
      <c r="AD1060" s="1871"/>
      <c r="AE1060" s="1871"/>
      <c r="AF1060" s="1871"/>
      <c r="AG1060" s="1871"/>
      <c r="AH1060" s="1871"/>
      <c r="AI1060" s="1871"/>
      <c r="AJ1060" s="1871"/>
      <c r="AK1060" s="1871"/>
    </row>
    <row r="1061" spans="1:96" ht="12.6" customHeight="1">
      <c r="A1061" s="62"/>
      <c r="B1061" s="66"/>
      <c r="C1061" s="13"/>
      <c r="D1061" s="1871"/>
      <c r="E1061" s="1871"/>
      <c r="F1061" s="1871"/>
      <c r="G1061" s="1871"/>
      <c r="H1061" s="1871"/>
      <c r="I1061" s="1871"/>
      <c r="J1061" s="1871"/>
      <c r="K1061" s="1871"/>
      <c r="L1061" s="1871"/>
      <c r="M1061" s="1871"/>
      <c r="N1061" s="1871"/>
      <c r="O1061" s="1871"/>
      <c r="P1061" s="1871"/>
      <c r="Q1061" s="1871"/>
      <c r="R1061" s="1871"/>
      <c r="S1061" s="1871"/>
      <c r="T1061" s="1871"/>
      <c r="U1061" s="1871"/>
      <c r="V1061" s="1871"/>
      <c r="W1061" s="1871"/>
      <c r="X1061" s="1871"/>
      <c r="Y1061" s="1871"/>
      <c r="Z1061" s="1871"/>
      <c r="AA1061" s="1871"/>
      <c r="AB1061" s="1871"/>
      <c r="AC1061" s="1871"/>
      <c r="AD1061" s="1871"/>
      <c r="AE1061" s="1871"/>
      <c r="AF1061" s="1871"/>
      <c r="AG1061" s="1871"/>
      <c r="AH1061" s="1871"/>
      <c r="AI1061" s="1871"/>
      <c r="AJ1061" s="1871"/>
      <c r="AK1061" s="1871"/>
    </row>
    <row r="1062" spans="1:96" ht="12.6" customHeight="1">
      <c r="A1062" s="62"/>
      <c r="B1062" s="66"/>
      <c r="C1062" s="13"/>
      <c r="D1062" s="1871"/>
      <c r="E1062" s="1871"/>
      <c r="F1062" s="1871"/>
      <c r="G1062" s="1871"/>
      <c r="H1062" s="1871"/>
      <c r="I1062" s="1871"/>
      <c r="J1062" s="1871"/>
      <c r="K1062" s="1871"/>
      <c r="L1062" s="1871"/>
      <c r="M1062" s="1871"/>
      <c r="N1062" s="1871"/>
      <c r="O1062" s="1871"/>
      <c r="P1062" s="1871"/>
      <c r="Q1062" s="1871"/>
      <c r="R1062" s="1871"/>
      <c r="S1062" s="1871"/>
      <c r="T1062" s="1871"/>
      <c r="U1062" s="1871"/>
      <c r="V1062" s="1871"/>
      <c r="W1062" s="1871"/>
      <c r="X1062" s="1871"/>
      <c r="Y1062" s="1871"/>
      <c r="Z1062" s="1871"/>
      <c r="AA1062" s="1871"/>
      <c r="AB1062" s="1871"/>
      <c r="AC1062" s="1871"/>
      <c r="AD1062" s="1871"/>
      <c r="AE1062" s="1871"/>
      <c r="AF1062" s="1871"/>
      <c r="AG1062" s="1871"/>
      <c r="AH1062" s="1871"/>
      <c r="AI1062" s="1871"/>
      <c r="AJ1062" s="1871"/>
      <c r="AK1062" s="1871"/>
    </row>
    <row r="1063" spans="1:96" ht="12.6" customHeight="1">
      <c r="A1063" s="1961" t="s">
        <v>627</v>
      </c>
      <c r="B1063" s="1961"/>
      <c r="C1063" s="13">
        <v>4</v>
      </c>
      <c r="D1063" s="1871" t="s">
        <v>1211</v>
      </c>
      <c r="E1063" s="1871"/>
      <c r="F1063" s="1871"/>
      <c r="G1063" s="1871"/>
      <c r="H1063" s="1871"/>
      <c r="I1063" s="1871"/>
      <c r="J1063" s="1871"/>
      <c r="K1063" s="1871"/>
      <c r="L1063" s="1871"/>
      <c r="M1063" s="1871"/>
      <c r="N1063" s="1871"/>
      <c r="O1063" s="1871"/>
      <c r="P1063" s="1871"/>
      <c r="Q1063" s="1871"/>
      <c r="R1063" s="1871"/>
      <c r="S1063" s="1871"/>
      <c r="T1063" s="1871"/>
      <c r="U1063" s="1871"/>
      <c r="V1063" s="1871"/>
      <c r="W1063" s="1871"/>
      <c r="X1063" s="1871"/>
      <c r="Y1063" s="1871"/>
      <c r="Z1063" s="1871"/>
      <c r="AA1063" s="1871"/>
      <c r="AB1063" s="1871"/>
      <c r="AC1063" s="1871"/>
      <c r="AD1063" s="1871"/>
      <c r="AE1063" s="1871"/>
      <c r="AF1063" s="1871"/>
      <c r="AG1063" s="1871"/>
      <c r="AH1063" s="1871"/>
      <c r="AI1063" s="1871"/>
      <c r="AJ1063" s="1871"/>
      <c r="AK1063" s="1871"/>
    </row>
    <row r="1064" spans="1:96" ht="12.6" customHeight="1">
      <c r="A1064" s="235"/>
      <c r="B1064" s="235"/>
      <c r="C1064" s="13"/>
      <c r="D1064" s="1871"/>
      <c r="E1064" s="1871"/>
      <c r="F1064" s="1871"/>
      <c r="G1064" s="1871"/>
      <c r="H1064" s="1871"/>
      <c r="I1064" s="1871"/>
      <c r="J1064" s="1871"/>
      <c r="K1064" s="1871"/>
      <c r="L1064" s="1871"/>
      <c r="M1064" s="1871"/>
      <c r="N1064" s="1871"/>
      <c r="O1064" s="1871"/>
      <c r="P1064" s="1871"/>
      <c r="Q1064" s="1871"/>
      <c r="R1064" s="1871"/>
      <c r="S1064" s="1871"/>
      <c r="T1064" s="1871"/>
      <c r="U1064" s="1871"/>
      <c r="V1064" s="1871"/>
      <c r="W1064" s="1871"/>
      <c r="X1064" s="1871"/>
      <c r="Y1064" s="1871"/>
      <c r="Z1064" s="1871"/>
      <c r="AA1064" s="1871"/>
      <c r="AB1064" s="1871"/>
      <c r="AC1064" s="1871"/>
      <c r="AD1064" s="1871"/>
      <c r="AE1064" s="1871"/>
      <c r="AF1064" s="1871"/>
      <c r="AG1064" s="1871"/>
      <c r="AH1064" s="1871"/>
      <c r="AI1064" s="1871"/>
      <c r="AJ1064" s="1871"/>
      <c r="AK1064" s="1871"/>
    </row>
    <row r="1065" spans="1:96" ht="12.6" customHeight="1">
      <c r="A1065" s="62"/>
      <c r="B1065" s="66"/>
      <c r="C1065" s="13"/>
      <c r="D1065" s="1871"/>
      <c r="E1065" s="1871"/>
      <c r="F1065" s="1871"/>
      <c r="G1065" s="1871"/>
      <c r="H1065" s="1871"/>
      <c r="I1065" s="1871"/>
      <c r="J1065" s="1871"/>
      <c r="K1065" s="1871"/>
      <c r="L1065" s="1871"/>
      <c r="M1065" s="1871"/>
      <c r="N1065" s="1871"/>
      <c r="O1065" s="1871"/>
      <c r="P1065" s="1871"/>
      <c r="Q1065" s="1871"/>
      <c r="R1065" s="1871"/>
      <c r="S1065" s="1871"/>
      <c r="T1065" s="1871"/>
      <c r="U1065" s="1871"/>
      <c r="V1065" s="1871"/>
      <c r="W1065" s="1871"/>
      <c r="X1065" s="1871"/>
      <c r="Y1065" s="1871"/>
      <c r="Z1065" s="1871"/>
      <c r="AA1065" s="1871"/>
      <c r="AB1065" s="1871"/>
      <c r="AC1065" s="1871"/>
      <c r="AD1065" s="1871"/>
      <c r="AE1065" s="1871"/>
      <c r="AF1065" s="1871"/>
      <c r="AG1065" s="1871"/>
      <c r="AH1065" s="1871"/>
      <c r="AI1065" s="1871"/>
      <c r="AJ1065" s="1871"/>
      <c r="AK1065" s="1871"/>
    </row>
    <row r="1066" spans="1:96" s="683" customFormat="1" ht="12.6" customHeight="1">
      <c r="A1066" s="1961" t="s">
        <v>627</v>
      </c>
      <c r="B1066" s="1961"/>
      <c r="C1066" s="13">
        <v>5</v>
      </c>
      <c r="D1066" s="1871" t="s">
        <v>1424</v>
      </c>
      <c r="E1066" s="1871"/>
      <c r="F1066" s="1871"/>
      <c r="G1066" s="1871"/>
      <c r="H1066" s="1871"/>
      <c r="I1066" s="1871"/>
      <c r="J1066" s="1871"/>
      <c r="K1066" s="1871"/>
      <c r="L1066" s="1871"/>
      <c r="M1066" s="1871"/>
      <c r="N1066" s="1871"/>
      <c r="O1066" s="1871"/>
      <c r="P1066" s="1871"/>
      <c r="Q1066" s="1871"/>
      <c r="R1066" s="1871"/>
      <c r="S1066" s="1871"/>
      <c r="T1066" s="1871"/>
      <c r="U1066" s="1871"/>
      <c r="V1066" s="1871"/>
      <c r="W1066" s="1871"/>
      <c r="X1066" s="1871"/>
      <c r="Y1066" s="1871"/>
      <c r="Z1066" s="1871"/>
      <c r="AA1066" s="1871"/>
      <c r="AB1066" s="1871"/>
      <c r="AC1066" s="1871"/>
      <c r="AD1066" s="1871"/>
      <c r="AE1066" s="1871"/>
      <c r="AF1066" s="1871"/>
      <c r="AG1066" s="1871"/>
      <c r="AH1066" s="1871"/>
      <c r="AI1066" s="1871"/>
      <c r="AJ1066" s="1871"/>
      <c r="AK1066" s="187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1"/>
      <c r="E1067" s="1871"/>
      <c r="F1067" s="1871"/>
      <c r="G1067" s="1871"/>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row>
    <row r="1068" spans="1:96" ht="12.6" customHeight="1">
      <c r="A1068" s="235"/>
      <c r="B1068" s="235"/>
      <c r="C1068" s="13"/>
      <c r="D1068" s="1871"/>
      <c r="E1068" s="1871"/>
      <c r="F1068" s="1871"/>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row>
    <row r="1069" spans="1:96" ht="12.6" customHeight="1">
      <c r="A1069" s="235"/>
      <c r="B1069" s="235"/>
      <c r="C1069" s="13"/>
      <c r="D1069" s="1871"/>
      <c r="E1069" s="1871"/>
      <c r="F1069" s="1871"/>
      <c r="G1069" s="1871"/>
      <c r="H1069" s="1871"/>
      <c r="I1069" s="1871"/>
      <c r="J1069" s="1871"/>
      <c r="K1069" s="1871"/>
      <c r="L1069" s="1871"/>
      <c r="M1069" s="1871"/>
      <c r="N1069" s="1871"/>
      <c r="O1069" s="1871"/>
      <c r="P1069" s="1871"/>
      <c r="Q1069" s="1871"/>
      <c r="R1069" s="1871"/>
      <c r="S1069" s="1871"/>
      <c r="T1069" s="1871"/>
      <c r="U1069" s="1871"/>
      <c r="V1069" s="1871"/>
      <c r="W1069" s="1871"/>
      <c r="X1069" s="1871"/>
      <c r="Y1069" s="1871"/>
      <c r="Z1069" s="1871"/>
      <c r="AA1069" s="1871"/>
      <c r="AB1069" s="1871"/>
      <c r="AC1069" s="1871"/>
      <c r="AD1069" s="1871"/>
      <c r="AE1069" s="1871"/>
      <c r="AF1069" s="1871"/>
      <c r="AG1069" s="1871"/>
      <c r="AH1069" s="1871"/>
      <c r="AI1069" s="1871"/>
      <c r="AJ1069" s="1871"/>
      <c r="AK1069" s="1871"/>
      <c r="AL1069" s="683"/>
    </row>
    <row r="1070" spans="1:96" ht="12.6" customHeight="1">
      <c r="A1070" s="62"/>
      <c r="B1070" s="66"/>
      <c r="C1070" s="13"/>
      <c r="D1070" s="1871"/>
      <c r="E1070" s="1871"/>
      <c r="F1070" s="1871"/>
      <c r="G1070" s="1871"/>
      <c r="H1070" s="1871"/>
      <c r="I1070" s="1871"/>
      <c r="J1070" s="1871"/>
      <c r="K1070" s="1871"/>
      <c r="L1070" s="1871"/>
      <c r="M1070" s="1871"/>
      <c r="N1070" s="1871"/>
      <c r="O1070" s="1871"/>
      <c r="P1070" s="1871"/>
      <c r="Q1070" s="1871"/>
      <c r="R1070" s="1871"/>
      <c r="S1070" s="1871"/>
      <c r="T1070" s="1871"/>
      <c r="U1070" s="1871"/>
      <c r="V1070" s="1871"/>
      <c r="W1070" s="1871"/>
      <c r="X1070" s="1871"/>
      <c r="Y1070" s="1871"/>
      <c r="Z1070" s="1871"/>
      <c r="AA1070" s="1871"/>
      <c r="AB1070" s="1871"/>
      <c r="AC1070" s="1871"/>
      <c r="AD1070" s="1871"/>
      <c r="AE1070" s="1871"/>
      <c r="AF1070" s="1871"/>
      <c r="AG1070" s="1871"/>
      <c r="AH1070" s="1871"/>
      <c r="AI1070" s="1871"/>
      <c r="AJ1070" s="1871"/>
      <c r="AK1070" s="1871"/>
    </row>
    <row r="1071" spans="1:96" ht="12.6" customHeight="1">
      <c r="A1071" s="1961" t="s">
        <v>627</v>
      </c>
      <c r="B1071" s="1961"/>
      <c r="C1071" s="13">
        <v>6</v>
      </c>
      <c r="D1071" s="1871" t="s">
        <v>1212</v>
      </c>
      <c r="E1071" s="1871"/>
      <c r="F1071" s="1871"/>
      <c r="G1071" s="1871"/>
      <c r="H1071" s="1871"/>
      <c r="I1071" s="1871"/>
      <c r="J1071" s="1871"/>
      <c r="K1071" s="1871"/>
      <c r="L1071" s="1871"/>
      <c r="M1071" s="1871"/>
      <c r="N1071" s="1871"/>
      <c r="O1071" s="1871"/>
      <c r="P1071" s="1871"/>
      <c r="Q1071" s="1871"/>
      <c r="R1071" s="1871"/>
      <c r="S1071" s="1871"/>
      <c r="T1071" s="1871"/>
      <c r="U1071" s="1871"/>
      <c r="V1071" s="1871"/>
      <c r="W1071" s="1871"/>
      <c r="X1071" s="1871"/>
      <c r="Y1071" s="1871"/>
      <c r="Z1071" s="1871"/>
      <c r="AA1071" s="1871"/>
      <c r="AB1071" s="1871"/>
      <c r="AC1071" s="1871"/>
      <c r="AD1071" s="1871"/>
      <c r="AE1071" s="1871"/>
      <c r="AF1071" s="1871"/>
      <c r="AG1071" s="1871"/>
      <c r="AH1071" s="1871"/>
      <c r="AI1071" s="1871"/>
      <c r="AJ1071" s="1871"/>
      <c r="AK1071" s="1871"/>
    </row>
    <row r="1072" spans="1:96" ht="12.6" customHeight="1">
      <c r="A1072" s="62"/>
      <c r="B1072" s="318"/>
      <c r="C1072" s="13"/>
      <c r="D1072" s="1871"/>
      <c r="E1072" s="1871"/>
      <c r="F1072" s="1871"/>
      <c r="G1072" s="1871"/>
      <c r="H1072" s="1871"/>
      <c r="I1072" s="1871"/>
      <c r="J1072" s="1871"/>
      <c r="K1072" s="1871"/>
      <c r="L1072" s="1871"/>
      <c r="M1072" s="1871"/>
      <c r="N1072" s="1871"/>
      <c r="O1072" s="1871"/>
      <c r="P1072" s="1871"/>
      <c r="Q1072" s="1871"/>
      <c r="R1072" s="1871"/>
      <c r="S1072" s="1871"/>
      <c r="T1072" s="1871"/>
      <c r="U1072" s="1871"/>
      <c r="V1072" s="1871"/>
      <c r="W1072" s="1871"/>
      <c r="X1072" s="1871"/>
      <c r="Y1072" s="1871"/>
      <c r="Z1072" s="1871"/>
      <c r="AA1072" s="1871"/>
      <c r="AB1072" s="1871"/>
      <c r="AC1072" s="1871"/>
      <c r="AD1072" s="1871"/>
      <c r="AE1072" s="1871"/>
      <c r="AF1072" s="1871"/>
      <c r="AG1072" s="1871"/>
      <c r="AH1072" s="1871"/>
      <c r="AI1072" s="1871"/>
      <c r="AJ1072" s="1871"/>
      <c r="AK1072" s="1871"/>
    </row>
    <row r="1073" spans="1:96" ht="12.6" customHeight="1">
      <c r="A1073" s="62"/>
      <c r="B1073" s="66"/>
      <c r="C1073" s="13"/>
      <c r="D1073" s="1871"/>
      <c r="E1073" s="1871"/>
      <c r="F1073" s="1871"/>
      <c r="G1073" s="1871"/>
      <c r="H1073" s="1871"/>
      <c r="I1073" s="1871"/>
      <c r="J1073" s="1871"/>
      <c r="K1073" s="1871"/>
      <c r="L1073" s="1871"/>
      <c r="M1073" s="1871"/>
      <c r="N1073" s="1871"/>
      <c r="O1073" s="1871"/>
      <c r="P1073" s="1871"/>
      <c r="Q1073" s="1871"/>
      <c r="R1073" s="1871"/>
      <c r="S1073" s="1871"/>
      <c r="T1073" s="1871"/>
      <c r="U1073" s="1871"/>
      <c r="V1073" s="1871"/>
      <c r="W1073" s="1871"/>
      <c r="X1073" s="1871"/>
      <c r="Y1073" s="1871"/>
      <c r="Z1073" s="1871"/>
      <c r="AA1073" s="1871"/>
      <c r="AB1073" s="1871"/>
      <c r="AC1073" s="1871"/>
      <c r="AD1073" s="1871"/>
      <c r="AE1073" s="1871"/>
      <c r="AF1073" s="1871"/>
      <c r="AG1073" s="1871"/>
      <c r="AH1073" s="1871"/>
      <c r="AI1073" s="1871"/>
      <c r="AJ1073" s="1871"/>
      <c r="AK1073" s="1871"/>
    </row>
    <row r="1074" spans="1:96" ht="12.6" customHeight="1">
      <c r="A1074" s="1961" t="s">
        <v>627</v>
      </c>
      <c r="B1074" s="1961"/>
      <c r="C1074" s="319">
        <v>7</v>
      </c>
      <c r="D1074" s="1871" t="s">
        <v>1214</v>
      </c>
      <c r="E1074" s="1871"/>
      <c r="F1074" s="1871"/>
      <c r="G1074" s="1871"/>
      <c r="H1074" s="1871"/>
      <c r="I1074" s="1871"/>
      <c r="J1074" s="1871"/>
      <c r="K1074" s="1871"/>
      <c r="L1074" s="1871"/>
      <c r="M1074" s="1871"/>
      <c r="N1074" s="1871"/>
      <c r="O1074" s="1871"/>
      <c r="P1074" s="1871"/>
      <c r="Q1074" s="1871"/>
      <c r="R1074" s="1871"/>
      <c r="S1074" s="1871"/>
      <c r="T1074" s="1871"/>
      <c r="U1074" s="1871"/>
      <c r="V1074" s="1871"/>
      <c r="W1074" s="1871"/>
      <c r="X1074" s="1871"/>
      <c r="Y1074" s="1871"/>
      <c r="Z1074" s="1871"/>
      <c r="AA1074" s="1871"/>
      <c r="AB1074" s="1871"/>
      <c r="AC1074" s="1871"/>
      <c r="AD1074" s="1871"/>
      <c r="AE1074" s="1871"/>
      <c r="AF1074" s="1871"/>
      <c r="AG1074" s="1871"/>
      <c r="AH1074" s="1871"/>
      <c r="AI1074" s="1871"/>
      <c r="AJ1074" s="1871"/>
      <c r="AK1074" s="1871"/>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1"/>
      <c r="E1075" s="1871"/>
      <c r="F1075" s="1871"/>
      <c r="G1075" s="1871"/>
      <c r="H1075" s="1871"/>
      <c r="I1075" s="1871"/>
      <c r="J1075" s="1871"/>
      <c r="K1075" s="1871"/>
      <c r="L1075" s="1871"/>
      <c r="M1075" s="1871"/>
      <c r="N1075" s="1871"/>
      <c r="O1075" s="1871"/>
      <c r="P1075" s="1871"/>
      <c r="Q1075" s="1871"/>
      <c r="R1075" s="1871"/>
      <c r="S1075" s="1871"/>
      <c r="T1075" s="1871"/>
      <c r="U1075" s="1871"/>
      <c r="V1075" s="1871"/>
      <c r="W1075" s="1871"/>
      <c r="X1075" s="1871"/>
      <c r="Y1075" s="1871"/>
      <c r="Z1075" s="1871"/>
      <c r="AA1075" s="1871"/>
      <c r="AB1075" s="1871"/>
      <c r="AC1075" s="1871"/>
      <c r="AD1075" s="1871"/>
      <c r="AE1075" s="1871"/>
      <c r="AF1075" s="1871"/>
      <c r="AG1075" s="1871"/>
      <c r="AH1075" s="1871"/>
      <c r="AI1075" s="1871"/>
      <c r="AJ1075" s="1871"/>
      <c r="AK1075" s="1871"/>
    </row>
    <row r="1076" spans="1:96" ht="12.6" customHeight="1">
      <c r="A1076" s="235"/>
      <c r="B1076" s="235"/>
      <c r="C1076" s="320"/>
      <c r="D1076" s="1871"/>
      <c r="E1076" s="1871"/>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row>
    <row r="1077" spans="1:96" s="683" customFormat="1" ht="12.6" customHeight="1">
      <c r="A1077" s="62"/>
      <c r="B1077" s="66"/>
      <c r="C1077" s="319"/>
      <c r="D1077" s="1871"/>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2"/>
      <c r="AM1077" s="39"/>
      <c r="AN1077" s="39"/>
      <c r="AO1077" s="39"/>
      <c r="AP1077" s="39"/>
      <c r="AQ1077" s="39"/>
      <c r="AR1077" s="39"/>
      <c r="AS1077" s="39"/>
      <c r="AT1077" s="39"/>
      <c r="AU1077" s="39"/>
      <c r="AV1077" s="39"/>
      <c r="AW1077" s="39"/>
      <c r="AX1077" s="39"/>
      <c r="AY1077" s="39"/>
      <c r="CR1077" s="25"/>
    </row>
    <row r="1078" spans="1:96" ht="12.6" customHeight="1">
      <c r="A1078" s="1961" t="s">
        <v>627</v>
      </c>
      <c r="B1078" s="1961"/>
      <c r="C1078" s="319">
        <v>8</v>
      </c>
      <c r="D1078" s="2357" t="s">
        <v>2181</v>
      </c>
      <c r="E1078" s="2357"/>
      <c r="F1078" s="2357"/>
      <c r="G1078" s="2357"/>
      <c r="H1078" s="2357"/>
      <c r="I1078" s="2357"/>
      <c r="J1078" s="2357"/>
      <c r="K1078" s="2357"/>
      <c r="L1078" s="2357"/>
      <c r="M1078" s="2357"/>
      <c r="N1078" s="2357"/>
      <c r="O1078" s="2357"/>
      <c r="P1078" s="2357"/>
      <c r="Q1078" s="2357"/>
      <c r="R1078" s="2357"/>
      <c r="S1078" s="2357"/>
      <c r="T1078" s="2357"/>
      <c r="U1078" s="2357"/>
      <c r="V1078" s="2357"/>
      <c r="W1078" s="2357"/>
      <c r="X1078" s="2357"/>
      <c r="Y1078" s="2357"/>
      <c r="Z1078" s="2357"/>
      <c r="AA1078" s="2357"/>
      <c r="AB1078" s="2357"/>
      <c r="AC1078" s="2357"/>
      <c r="AD1078" s="2357"/>
      <c r="AE1078" s="2357"/>
      <c r="AF1078" s="2357"/>
      <c r="AG1078" s="2357"/>
      <c r="AH1078" s="2357"/>
      <c r="AI1078" s="2357"/>
      <c r="AJ1078" s="2357"/>
      <c r="AK1078" s="2357"/>
    </row>
    <row r="1079" spans="1:96" ht="12.6" customHeight="1">
      <c r="A1079" s="235"/>
      <c r="B1079" s="235"/>
      <c r="C1079" s="319"/>
      <c r="D1079" s="2357"/>
      <c r="E1079" s="2357"/>
      <c r="F1079" s="2357"/>
      <c r="G1079" s="2357"/>
      <c r="H1079" s="2357"/>
      <c r="I1079" s="2357"/>
      <c r="J1079" s="2357"/>
      <c r="K1079" s="2357"/>
      <c r="L1079" s="2357"/>
      <c r="M1079" s="2357"/>
      <c r="N1079" s="2357"/>
      <c r="O1079" s="2357"/>
      <c r="P1079" s="2357"/>
      <c r="Q1079" s="2357"/>
      <c r="R1079" s="2357"/>
      <c r="S1079" s="2357"/>
      <c r="T1079" s="2357"/>
      <c r="U1079" s="2357"/>
      <c r="V1079" s="2357"/>
      <c r="W1079" s="2357"/>
      <c r="X1079" s="2357"/>
      <c r="Y1079" s="2357"/>
      <c r="Z1079" s="2357"/>
      <c r="AA1079" s="2357"/>
      <c r="AB1079" s="2357"/>
      <c r="AC1079" s="2357"/>
      <c r="AD1079" s="2357"/>
      <c r="AE1079" s="2357"/>
      <c r="AF1079" s="2357"/>
      <c r="AG1079" s="2357"/>
      <c r="AH1079" s="2357"/>
      <c r="AI1079" s="2357"/>
      <c r="AJ1079" s="2357"/>
      <c r="AK1079" s="2357"/>
    </row>
    <row r="1080" spans="1:96" ht="12.6" customHeight="1">
      <c r="A1080" s="235"/>
      <c r="B1080" s="235"/>
      <c r="C1080" s="319"/>
      <c r="D1080" s="2357"/>
      <c r="E1080" s="2357"/>
      <c r="F1080" s="2357"/>
      <c r="G1080" s="2357"/>
      <c r="H1080" s="2357"/>
      <c r="I1080" s="2357"/>
      <c r="J1080" s="2357"/>
      <c r="K1080" s="2357"/>
      <c r="L1080" s="2357"/>
      <c r="M1080" s="2357"/>
      <c r="N1080" s="2357"/>
      <c r="O1080" s="2357"/>
      <c r="P1080" s="2357"/>
      <c r="Q1080" s="2357"/>
      <c r="R1080" s="2357"/>
      <c r="S1080" s="2357"/>
      <c r="T1080" s="2357"/>
      <c r="U1080" s="2357"/>
      <c r="V1080" s="2357"/>
      <c r="W1080" s="2357"/>
      <c r="X1080" s="2357"/>
      <c r="Y1080" s="2357"/>
      <c r="Z1080" s="2357"/>
      <c r="AA1080" s="2357"/>
      <c r="AB1080" s="2357"/>
      <c r="AC1080" s="2357"/>
      <c r="AD1080" s="2357"/>
      <c r="AE1080" s="2357"/>
      <c r="AF1080" s="2357"/>
      <c r="AG1080" s="2357"/>
      <c r="AH1080" s="2357"/>
      <c r="AI1080" s="2357"/>
      <c r="AJ1080" s="2357"/>
      <c r="AK1080" s="2357"/>
      <c r="AL1080" s="683"/>
    </row>
    <row r="1081" spans="1:96" ht="12" customHeight="1">
      <c r="A1081" s="62"/>
      <c r="B1081" s="66"/>
      <c r="C1081" s="319"/>
      <c r="D1081" s="2357"/>
      <c r="E1081" s="2357"/>
      <c r="F1081" s="2357"/>
      <c r="G1081" s="2357"/>
      <c r="H1081" s="2357"/>
      <c r="I1081" s="2357"/>
      <c r="J1081" s="2357"/>
      <c r="K1081" s="2357"/>
      <c r="L1081" s="2357"/>
      <c r="M1081" s="2357"/>
      <c r="N1081" s="2357"/>
      <c r="O1081" s="2357"/>
      <c r="P1081" s="2357"/>
      <c r="Q1081" s="2357"/>
      <c r="R1081" s="2357"/>
      <c r="S1081" s="2357"/>
      <c r="T1081" s="2357"/>
      <c r="U1081" s="2357"/>
      <c r="V1081" s="2357"/>
      <c r="W1081" s="2357"/>
      <c r="X1081" s="2357"/>
      <c r="Y1081" s="2357"/>
      <c r="Z1081" s="2357"/>
      <c r="AA1081" s="2357"/>
      <c r="AB1081" s="2357"/>
      <c r="AC1081" s="2357"/>
      <c r="AD1081" s="2357"/>
      <c r="AE1081" s="2357"/>
      <c r="AF1081" s="2357"/>
      <c r="AG1081" s="2357"/>
      <c r="AH1081" s="2357"/>
      <c r="AI1081" s="2357"/>
      <c r="AJ1081" s="2357"/>
      <c r="AK1081" s="2357"/>
    </row>
    <row r="1082" spans="1:96" ht="12.6" customHeight="1">
      <c r="A1082" s="1961" t="s">
        <v>627</v>
      </c>
      <c r="B1082" s="1961"/>
      <c r="C1082" s="319">
        <v>9</v>
      </c>
      <c r="D1082" s="1871" t="s">
        <v>1213</v>
      </c>
      <c r="E1082" s="1871"/>
      <c r="F1082" s="1871"/>
      <c r="G1082" s="1871"/>
      <c r="H1082" s="1871"/>
      <c r="I1082" s="1871"/>
      <c r="J1082" s="1871"/>
      <c r="K1082" s="1871"/>
      <c r="L1082" s="1871"/>
      <c r="M1082" s="1871"/>
      <c r="N1082" s="1871"/>
      <c r="O1082" s="1871"/>
      <c r="P1082" s="1871"/>
      <c r="Q1082" s="1871"/>
      <c r="R1082" s="1871"/>
      <c r="S1082" s="1871"/>
      <c r="T1082" s="1871"/>
      <c r="U1082" s="1871"/>
      <c r="V1082" s="1871"/>
      <c r="W1082" s="1871"/>
      <c r="X1082" s="1871"/>
      <c r="Y1082" s="1871"/>
      <c r="Z1082" s="1871"/>
      <c r="AA1082" s="1871"/>
      <c r="AB1082" s="1871"/>
      <c r="AC1082" s="1871"/>
      <c r="AD1082" s="1871"/>
      <c r="AE1082" s="1871"/>
      <c r="AF1082" s="1871"/>
      <c r="AG1082" s="1871"/>
      <c r="AH1082" s="1871"/>
      <c r="AI1082" s="1871"/>
      <c r="AJ1082" s="1871"/>
      <c r="AK1082" s="1871"/>
    </row>
    <row r="1083" spans="1:96" ht="15" customHeight="1">
      <c r="A1083" s="62"/>
      <c r="B1083" s="66"/>
      <c r="C1083" s="319"/>
      <c r="D1083" s="1871"/>
      <c r="E1083" s="1871"/>
      <c r="F1083" s="1871"/>
      <c r="G1083" s="1871"/>
      <c r="H1083" s="1871"/>
      <c r="I1083" s="1871"/>
      <c r="J1083" s="1871"/>
      <c r="K1083" s="1871"/>
      <c r="L1083" s="1871"/>
      <c r="M1083" s="1871"/>
      <c r="N1083" s="1871"/>
      <c r="O1083" s="1871"/>
      <c r="P1083" s="1871"/>
      <c r="Q1083" s="1871"/>
      <c r="R1083" s="1871"/>
      <c r="S1083" s="1871"/>
      <c r="T1083" s="1871"/>
      <c r="U1083" s="1871"/>
      <c r="V1083" s="1871"/>
      <c r="W1083" s="1871"/>
      <c r="X1083" s="1871"/>
      <c r="Y1083" s="1871"/>
      <c r="Z1083" s="1871"/>
      <c r="AA1083" s="1871"/>
      <c r="AB1083" s="1871"/>
      <c r="AC1083" s="1871"/>
      <c r="AD1083" s="1871"/>
      <c r="AE1083" s="1871"/>
      <c r="AF1083" s="1871"/>
      <c r="AG1083" s="1871"/>
      <c r="AH1083" s="1871"/>
      <c r="AI1083" s="1871"/>
      <c r="AJ1083" s="1871"/>
      <c r="AK1083" s="1871"/>
    </row>
    <row r="1084" spans="1:96" ht="15" customHeight="1">
      <c r="D1084" s="1871"/>
      <c r="E1084" s="1871"/>
      <c r="F1084" s="1871"/>
      <c r="G1084" s="1871"/>
      <c r="H1084" s="1871"/>
      <c r="I1084" s="1871"/>
      <c r="J1084" s="1871"/>
      <c r="K1084" s="1871"/>
      <c r="L1084" s="1871"/>
      <c r="M1084" s="1871"/>
      <c r="N1084" s="1871"/>
      <c r="O1084" s="1871"/>
      <c r="P1084" s="1871"/>
      <c r="Q1084" s="1871"/>
      <c r="R1084" s="1871"/>
      <c r="S1084" s="1871"/>
      <c r="T1084" s="1871"/>
      <c r="U1084" s="1871"/>
      <c r="V1084" s="1871"/>
      <c r="W1084" s="1871"/>
      <c r="X1084" s="1871"/>
      <c r="Y1084" s="1871"/>
      <c r="Z1084" s="1871"/>
      <c r="AA1084" s="1871"/>
      <c r="AB1084" s="1871"/>
      <c r="AC1084" s="1871"/>
      <c r="AD1084" s="1871"/>
      <c r="AE1084" s="1871"/>
      <c r="AF1084" s="1871"/>
      <c r="AG1084" s="1871"/>
      <c r="AH1084" s="1871"/>
      <c r="AI1084" s="1871"/>
      <c r="AJ1084" s="1871"/>
      <c r="AK1084" s="1871"/>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9">
    <mergeCell ref="BS655:BW655"/>
    <mergeCell ref="CM663:CQ663"/>
    <mergeCell ref="BN655:BR655"/>
    <mergeCell ref="BN656:BR656"/>
    <mergeCell ref="BN657:BR657"/>
    <mergeCell ref="BN658:BR658"/>
    <mergeCell ref="CM658:CQ658"/>
    <mergeCell ref="BS656:BW656"/>
    <mergeCell ref="CS652:CW652"/>
    <mergeCell ref="CX652:DB652"/>
    <mergeCell ref="DC652:DG652"/>
    <mergeCell ref="BS657:BW657"/>
    <mergeCell ref="AM734:AO734"/>
    <mergeCell ref="AM747:AO747"/>
    <mergeCell ref="DC658:DG658"/>
    <mergeCell ref="DH658:DL658"/>
    <mergeCell ref="DM658:DQ658"/>
    <mergeCell ref="AM746:AO746"/>
    <mergeCell ref="BX655:CB655"/>
    <mergeCell ref="BS663:BW663"/>
    <mergeCell ref="BX656:CB656"/>
    <mergeCell ref="BX657:CB657"/>
    <mergeCell ref="CC652:CG652"/>
    <mergeCell ref="CM657:CQ657"/>
    <mergeCell ref="BS658:BW658"/>
    <mergeCell ref="BX658:CB658"/>
    <mergeCell ref="CC658:CG658"/>
    <mergeCell ref="CH658:CL658"/>
    <mergeCell ref="BS654:BW654"/>
    <mergeCell ref="BX653:CB653"/>
    <mergeCell ref="CC663:CG663"/>
    <mergeCell ref="BS652:BW652"/>
    <mergeCell ref="EC655:EG655"/>
    <mergeCell ref="EH655:EL655"/>
    <mergeCell ref="EM655:EQ655"/>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M655:CQ655"/>
    <mergeCell ref="CM656:CQ656"/>
    <mergeCell ref="CX653:DB653"/>
    <mergeCell ref="CX654:DB654"/>
    <mergeCell ref="DC654:DG654"/>
    <mergeCell ref="DH654:DL654"/>
    <mergeCell ref="DM654:DQ654"/>
    <mergeCell ref="DR654:DV654"/>
    <mergeCell ref="CX651:DB651"/>
    <mergeCell ref="DX655:EB655"/>
    <mergeCell ref="CM650:CQ650"/>
    <mergeCell ref="CM649:CQ649"/>
    <mergeCell ref="CC654:CG654"/>
    <mergeCell ref="CH654:CL654"/>
    <mergeCell ref="EH652:EL652"/>
    <mergeCell ref="EM663:EQ663"/>
    <mergeCell ref="DX653:EB653"/>
    <mergeCell ref="EC653:EG653"/>
    <mergeCell ref="DX662:EB662"/>
    <mergeCell ref="EC662:EG662"/>
    <mergeCell ref="EH662:EL662"/>
    <mergeCell ref="EM662:EQ662"/>
    <mergeCell ref="DX652:EB652"/>
    <mergeCell ref="DR660:DV660"/>
    <mergeCell ref="CS658:CW658"/>
    <mergeCell ref="CX658:DB658"/>
    <mergeCell ref="DC653:DG653"/>
    <mergeCell ref="DH653:DL653"/>
    <mergeCell ref="DM653:DQ653"/>
    <mergeCell ref="DR653:DV653"/>
    <mergeCell ref="CS654:CW654"/>
    <mergeCell ref="EM654:EQ654"/>
    <mergeCell ref="EC651:EG651"/>
    <mergeCell ref="CS651:CW651"/>
    <mergeCell ref="EH650:EL650"/>
    <mergeCell ref="EM650:EQ650"/>
    <mergeCell ref="EM653:EQ653"/>
    <mergeCell ref="DX651:EB651"/>
    <mergeCell ref="DC651:DG651"/>
    <mergeCell ref="DH651:DL651"/>
    <mergeCell ref="DH652:DL652"/>
    <mergeCell ref="DM652:DQ652"/>
    <mergeCell ref="DH649:DL649"/>
    <mergeCell ref="DM649:DQ649"/>
    <mergeCell ref="DR649:DV649"/>
    <mergeCell ref="CM652:CQ652"/>
    <mergeCell ref="CM651:CQ651"/>
    <mergeCell ref="CC653:CG653"/>
    <mergeCell ref="EC649:EG649"/>
    <mergeCell ref="EW650:FA650"/>
    <mergeCell ref="ER650:EV650"/>
    <mergeCell ref="EM652:EQ652"/>
    <mergeCell ref="EH653:EL653"/>
    <mergeCell ref="U648:W648"/>
    <mergeCell ref="EM646:EQ646"/>
    <mergeCell ref="DX640:EB640"/>
    <mergeCell ref="EC640:EG640"/>
    <mergeCell ref="EH640:EL640"/>
    <mergeCell ref="EM640:EQ640"/>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CX649:DB649"/>
    <mergeCell ref="DM651:DQ651"/>
    <mergeCell ref="EM645:EQ645"/>
    <mergeCell ref="DR651:DV651"/>
    <mergeCell ref="DX663:EB663"/>
    <mergeCell ref="ER663:EV663"/>
    <mergeCell ref="ER662:EV662"/>
    <mergeCell ref="EC663:EG663"/>
    <mergeCell ref="EH663:EL663"/>
    <mergeCell ref="ER655:EV655"/>
    <mergeCell ref="EC652:EG652"/>
    <mergeCell ref="U637:W637"/>
    <mergeCell ref="U638:W638"/>
    <mergeCell ref="U639:W639"/>
    <mergeCell ref="EC646:EG646"/>
    <mergeCell ref="EH646:EL646"/>
    <mergeCell ref="AF646:AJ646"/>
    <mergeCell ref="AF647:AJ647"/>
    <mergeCell ref="DX633:EB633"/>
    <mergeCell ref="ER652:EV652"/>
    <mergeCell ref="EW652:FA652"/>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W655:FA655"/>
    <mergeCell ref="EW658:FA658"/>
    <mergeCell ref="EW653:FA653"/>
    <mergeCell ref="DX654:EB654"/>
    <mergeCell ref="EC654:EG654"/>
    <mergeCell ref="EH654:EL654"/>
    <mergeCell ref="EH649:EL649"/>
    <mergeCell ref="EM649:EQ649"/>
    <mergeCell ref="ER649:EV649"/>
    <mergeCell ref="EW649:FA649"/>
    <mergeCell ref="DX650:EB650"/>
    <mergeCell ref="EC650:EG650"/>
    <mergeCell ref="EH651:EL651"/>
    <mergeCell ref="EM651:EQ651"/>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DX646:EB646"/>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W640:FA640"/>
    <mergeCell ref="ER658:EV658"/>
    <mergeCell ref="DX641:EB641"/>
    <mergeCell ref="EC641:EG641"/>
    <mergeCell ref="EH641:EL641"/>
    <mergeCell ref="EM641:EQ641"/>
    <mergeCell ref="ER641:EV641"/>
    <mergeCell ref="EW641:FA641"/>
    <mergeCell ref="DX635:EB635"/>
    <mergeCell ref="EC635:EG635"/>
    <mergeCell ref="EH635:EL635"/>
    <mergeCell ref="EM635:EQ635"/>
    <mergeCell ref="ER635:EV635"/>
    <mergeCell ref="DX639:EB639"/>
    <mergeCell ref="ER639:EV639"/>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R645:EV645"/>
    <mergeCell ref="EC632:EG632"/>
    <mergeCell ref="EH632:EL632"/>
    <mergeCell ref="EM632:EQ632"/>
    <mergeCell ref="ER632:EV632"/>
    <mergeCell ref="EW632:FA632"/>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EW635:FA635"/>
    <mergeCell ref="DX638:EB638"/>
    <mergeCell ref="EC638:EG638"/>
    <mergeCell ref="EH638:EL638"/>
    <mergeCell ref="EM638:EQ638"/>
    <mergeCell ref="ER638:EV638"/>
    <mergeCell ref="EW638:FA638"/>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J973:AQ973"/>
    <mergeCell ref="R969:AA969"/>
    <mergeCell ref="AJ969:AQ969"/>
    <mergeCell ref="AJ970:AQ970"/>
    <mergeCell ref="AJ971:AQ971"/>
    <mergeCell ref="D996:AE998"/>
    <mergeCell ref="B975:AI975"/>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AB974:AI974"/>
    <mergeCell ref="R970:AA970"/>
    <mergeCell ref="R971:AA971"/>
    <mergeCell ref="R972:AA972"/>
    <mergeCell ref="R973:AA973"/>
    <mergeCell ref="D968:Q968"/>
    <mergeCell ref="D969:Q969"/>
    <mergeCell ref="D970:Q970"/>
    <mergeCell ref="D971:Q971"/>
    <mergeCell ref="D972:Q972"/>
    <mergeCell ref="D973:Q973"/>
    <mergeCell ref="AJ968:AQ968"/>
    <mergeCell ref="D995:AE995"/>
    <mergeCell ref="AH793:AL793"/>
    <mergeCell ref="AH794:AL794"/>
    <mergeCell ref="AH795:AL795"/>
    <mergeCell ref="AC748:AG748"/>
    <mergeCell ref="AC750:AG750"/>
    <mergeCell ref="M828:P828"/>
    <mergeCell ref="C835:AJ835"/>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AG986:AH986"/>
    <mergeCell ref="AG990:AH990"/>
    <mergeCell ref="AG992:AH992"/>
    <mergeCell ref="AG995:AH995"/>
    <mergeCell ref="AG999:AH999"/>
    <mergeCell ref="AG1004:AH1004"/>
    <mergeCell ref="J791:N791"/>
    <mergeCell ref="AC796:AG796"/>
    <mergeCell ref="AC786:AG786"/>
    <mergeCell ref="AC787:AG78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D1016:AE1019"/>
    <mergeCell ref="AJ1015:AQ1019"/>
    <mergeCell ref="D1020:AE1020"/>
    <mergeCell ref="D1021:AE1023"/>
    <mergeCell ref="AJ1020:AQ1023"/>
    <mergeCell ref="D1024:AE1024"/>
    <mergeCell ref="D993:AE994"/>
    <mergeCell ref="O790:S790"/>
    <mergeCell ref="Z898:AE898"/>
    <mergeCell ref="Q823:T823"/>
    <mergeCell ref="AE942:AK942"/>
    <mergeCell ref="AA952:AG952"/>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M944:S944"/>
    <mergeCell ref="I934:T934"/>
    <mergeCell ref="AC790:AG790"/>
    <mergeCell ref="AC791:AG791"/>
    <mergeCell ref="AE939:AK939"/>
    <mergeCell ref="AA951:AG951"/>
    <mergeCell ref="AA957:AG957"/>
    <mergeCell ref="M955:S955"/>
    <mergeCell ref="AC749:AG749"/>
    <mergeCell ref="M959:S959"/>
    <mergeCell ref="M953:S953"/>
    <mergeCell ref="M952:S952"/>
    <mergeCell ref="B748:F748"/>
    <mergeCell ref="O789:S789"/>
    <mergeCell ref="Y821:AB822"/>
    <mergeCell ref="O794:S794"/>
    <mergeCell ref="B752:F752"/>
    <mergeCell ref="AC793:AG793"/>
    <mergeCell ref="AC794:AG794"/>
    <mergeCell ref="Z813:AE813"/>
    <mergeCell ref="Z806:AE806"/>
    <mergeCell ref="T742:X742"/>
    <mergeCell ref="T743:X743"/>
    <mergeCell ref="T744:X744"/>
    <mergeCell ref="G740:J740"/>
    <mergeCell ref="G749:J749"/>
    <mergeCell ref="X775:AB775"/>
    <mergeCell ref="AJ975:AQ975"/>
    <mergeCell ref="AJ972:AQ972"/>
    <mergeCell ref="B753:F753"/>
    <mergeCell ref="U823:X823"/>
    <mergeCell ref="Q825:T825"/>
    <mergeCell ref="O776:S776"/>
    <mergeCell ref="Y824:AB824"/>
    <mergeCell ref="AC795:AG795"/>
    <mergeCell ref="AC824:AF824"/>
    <mergeCell ref="B749:F749"/>
    <mergeCell ref="B750:F750"/>
    <mergeCell ref="Y747:AB747"/>
    <mergeCell ref="AH749:AL749"/>
    <mergeCell ref="C828:H828"/>
    <mergeCell ref="C823:H823"/>
    <mergeCell ref="C824:H824"/>
    <mergeCell ref="U827:X827"/>
    <mergeCell ref="W872:AC872"/>
    <mergeCell ref="K750:N750"/>
    <mergeCell ref="AH788:AL788"/>
    <mergeCell ref="AH789:AL789"/>
    <mergeCell ref="K745:N745"/>
    <mergeCell ref="K746:N746"/>
    <mergeCell ref="T772:W772"/>
    <mergeCell ref="AH790:AL790"/>
    <mergeCell ref="AH791:AL791"/>
    <mergeCell ref="AH792:AL792"/>
    <mergeCell ref="X792:AB792"/>
    <mergeCell ref="AC789:AG789"/>
    <mergeCell ref="J778:K778"/>
    <mergeCell ref="J786:N786"/>
    <mergeCell ref="O786:S786"/>
    <mergeCell ref="J776:N776"/>
    <mergeCell ref="AH782:AL785"/>
    <mergeCell ref="T790:W790"/>
    <mergeCell ref="T791:W791"/>
    <mergeCell ref="G750:J750"/>
    <mergeCell ref="T788:W788"/>
    <mergeCell ref="T789:W789"/>
    <mergeCell ref="T792:W792"/>
    <mergeCell ref="O774:S774"/>
    <mergeCell ref="AC792:AG792"/>
    <mergeCell ref="O751:S751"/>
    <mergeCell ref="O752:S752"/>
    <mergeCell ref="T753:X753"/>
    <mergeCell ref="AC745:AG745"/>
    <mergeCell ref="AC788:AG788"/>
    <mergeCell ref="AC746:AG746"/>
    <mergeCell ref="AC747:AG747"/>
    <mergeCell ref="J789:N789"/>
    <mergeCell ref="N667:O667"/>
    <mergeCell ref="Z670:AK670"/>
    <mergeCell ref="G665:L665"/>
    <mergeCell ref="Z685:AK685"/>
    <mergeCell ref="P689:R689"/>
    <mergeCell ref="AE712:AF712"/>
    <mergeCell ref="Z665:AE665"/>
    <mergeCell ref="G746:J746"/>
    <mergeCell ref="O744:S744"/>
    <mergeCell ref="Y739:AB739"/>
    <mergeCell ref="AH740:AL740"/>
    <mergeCell ref="K744:N744"/>
    <mergeCell ref="AC744:AG744"/>
    <mergeCell ref="Y729:AB729"/>
    <mergeCell ref="K734:N734"/>
    <mergeCell ref="K735:N735"/>
    <mergeCell ref="H666:R666"/>
    <mergeCell ref="O731:S731"/>
    <mergeCell ref="T738:X738"/>
    <mergeCell ref="AC735:AG735"/>
    <mergeCell ref="J714:X714"/>
    <mergeCell ref="G731:J731"/>
    <mergeCell ref="G732:J732"/>
    <mergeCell ref="Z695:AK695"/>
    <mergeCell ref="O745:S745"/>
    <mergeCell ref="K740:N740"/>
    <mergeCell ref="K741:N741"/>
    <mergeCell ref="K742:N742"/>
    <mergeCell ref="K743:N743"/>
    <mergeCell ref="T741:X741"/>
    <mergeCell ref="O746:S746"/>
    <mergeCell ref="G696:R696"/>
    <mergeCell ref="A8:AL8"/>
    <mergeCell ref="S501:AK502"/>
    <mergeCell ref="I409:AE409"/>
    <mergeCell ref="AF178:AG178"/>
    <mergeCell ref="M27:Q27"/>
    <mergeCell ref="AC646:AE646"/>
    <mergeCell ref="AC647:AE647"/>
    <mergeCell ref="AC648:AE648"/>
    <mergeCell ref="U643:W643"/>
    <mergeCell ref="U644:W644"/>
    <mergeCell ref="U645:W645"/>
    <mergeCell ref="U646:W646"/>
    <mergeCell ref="U647:W647"/>
    <mergeCell ref="X637:AB637"/>
    <mergeCell ref="H698:R698"/>
    <mergeCell ref="N675:O675"/>
    <mergeCell ref="O742:S742"/>
    <mergeCell ref="T740:X740"/>
    <mergeCell ref="AC740:AG740"/>
    <mergeCell ref="AC741:AG741"/>
    <mergeCell ref="AC742:AG742"/>
    <mergeCell ref="Z678:AK678"/>
    <mergeCell ref="Z696:AK696"/>
    <mergeCell ref="O732:S732"/>
    <mergeCell ref="AI673:AK673"/>
    <mergeCell ref="Z671:AK671"/>
    <mergeCell ref="G679:R679"/>
    <mergeCell ref="AH729:AL729"/>
    <mergeCell ref="G687:R687"/>
    <mergeCell ref="AE703:AF703"/>
    <mergeCell ref="AE704:AF704"/>
    <mergeCell ref="Z681:AE681"/>
    <mergeCell ref="G657:L657"/>
    <mergeCell ref="T729:X729"/>
    <mergeCell ref="D1050:AK1055"/>
    <mergeCell ref="D1056:AK1062"/>
    <mergeCell ref="D1063:AK1065"/>
    <mergeCell ref="D1066:AK1070"/>
    <mergeCell ref="N659:O659"/>
    <mergeCell ref="G686:R686"/>
    <mergeCell ref="G672:R672"/>
    <mergeCell ref="P665:R665"/>
    <mergeCell ref="Z677:AK677"/>
    <mergeCell ref="Z672:AK672"/>
    <mergeCell ref="Z663:AK663"/>
    <mergeCell ref="AI665:AK665"/>
    <mergeCell ref="Y823:AB823"/>
    <mergeCell ref="AC823:AF823"/>
    <mergeCell ref="AC888:AH888"/>
    <mergeCell ref="Y830:AB830"/>
    <mergeCell ref="Z815:AE815"/>
    <mergeCell ref="G735:J735"/>
    <mergeCell ref="G736:J736"/>
    <mergeCell ref="G737:J737"/>
    <mergeCell ref="B732:F732"/>
    <mergeCell ref="M869:V869"/>
    <mergeCell ref="U928:Z928"/>
    <mergeCell ref="AG821:AJ822"/>
    <mergeCell ref="W852:AC852"/>
    <mergeCell ref="T782:W785"/>
    <mergeCell ref="J774:N774"/>
    <mergeCell ref="T786:W786"/>
    <mergeCell ref="T787:W787"/>
    <mergeCell ref="O787:S787"/>
    <mergeCell ref="N699:O699"/>
    <mergeCell ref="Z669:AK669"/>
    <mergeCell ref="B730:F730"/>
    <mergeCell ref="AC732:AG732"/>
    <mergeCell ref="G733:J733"/>
    <mergeCell ref="A719:AO721"/>
    <mergeCell ref="Z686:AK686"/>
    <mergeCell ref="O740:S740"/>
    <mergeCell ref="AM749:AO749"/>
    <mergeCell ref="AM735:AO735"/>
    <mergeCell ref="Y734:AB734"/>
    <mergeCell ref="AH741:AL741"/>
    <mergeCell ref="AH742:AL742"/>
    <mergeCell ref="AH743:AL743"/>
    <mergeCell ref="AH737:AL737"/>
    <mergeCell ref="AH738:AL738"/>
    <mergeCell ref="AH733:AL733"/>
    <mergeCell ref="AM731:AO731"/>
    <mergeCell ref="Y728:AB728"/>
    <mergeCell ref="AM744:AO744"/>
    <mergeCell ref="Y730:AB730"/>
    <mergeCell ref="Z688:AK688"/>
    <mergeCell ref="G695:R695"/>
    <mergeCell ref="G689:L689"/>
    <mergeCell ref="G685:R685"/>
    <mergeCell ref="AH748:AL748"/>
    <mergeCell ref="K748:N748"/>
    <mergeCell ref="K749:N749"/>
    <mergeCell ref="K747:N747"/>
    <mergeCell ref="B743:F743"/>
    <mergeCell ref="B740:F740"/>
    <mergeCell ref="B739:F739"/>
    <mergeCell ref="A627:AS628"/>
    <mergeCell ref="AF644:AJ644"/>
    <mergeCell ref="AF645:AJ645"/>
    <mergeCell ref="D1044:AK1049"/>
    <mergeCell ref="O741:S741"/>
    <mergeCell ref="O734:S734"/>
    <mergeCell ref="O735:S735"/>
    <mergeCell ref="O736:S736"/>
    <mergeCell ref="O737:S737"/>
    <mergeCell ref="O738:S738"/>
    <mergeCell ref="O739:S739"/>
    <mergeCell ref="AC737:AG737"/>
    <mergeCell ref="T739:X739"/>
    <mergeCell ref="Y735:AB735"/>
    <mergeCell ref="AC738:AG738"/>
    <mergeCell ref="AH734:AL734"/>
    <mergeCell ref="AH735:AL735"/>
    <mergeCell ref="AH736:AL736"/>
    <mergeCell ref="AH739:AL739"/>
    <mergeCell ref="AM750:AO750"/>
    <mergeCell ref="Y733:AB733"/>
    <mergeCell ref="Z654:AK654"/>
    <mergeCell ref="U642:W642"/>
    <mergeCell ref="AC638:AE638"/>
    <mergeCell ref="AC637:AE637"/>
    <mergeCell ref="R646:T646"/>
    <mergeCell ref="R647:T647"/>
    <mergeCell ref="R648:T648"/>
    <mergeCell ref="T793:W793"/>
    <mergeCell ref="X772:AB772"/>
    <mergeCell ref="G748:J748"/>
    <mergeCell ref="G747:J747"/>
    <mergeCell ref="BG851:BL851"/>
    <mergeCell ref="A1082:B1082"/>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D1078:AK1081"/>
    <mergeCell ref="M821:P822"/>
    <mergeCell ref="Q821:T822"/>
    <mergeCell ref="Z807:AE807"/>
    <mergeCell ref="M957:S957"/>
    <mergeCell ref="M956:S956"/>
    <mergeCell ref="M945:S945"/>
    <mergeCell ref="Z816:AE816"/>
    <mergeCell ref="X794:AB794"/>
    <mergeCell ref="X795:AB795"/>
    <mergeCell ref="U821:X822"/>
    <mergeCell ref="P814:Y814"/>
    <mergeCell ref="X793:AB793"/>
    <mergeCell ref="AG1024:AH1024"/>
    <mergeCell ref="AG1011:AH1011"/>
    <mergeCell ref="D1015:AE1015"/>
    <mergeCell ref="AM748:AO748"/>
    <mergeCell ref="Z804:AE804"/>
    <mergeCell ref="Z805:AE805"/>
    <mergeCell ref="AH750:AL750"/>
    <mergeCell ref="AH751:AL751"/>
    <mergeCell ref="AC739:AG739"/>
    <mergeCell ref="AH786:AL786"/>
    <mergeCell ref="AH787:AL787"/>
    <mergeCell ref="AC885:AH885"/>
    <mergeCell ref="AC826:AF826"/>
    <mergeCell ref="AG826:AJ826"/>
    <mergeCell ref="AG830:AJ830"/>
    <mergeCell ref="W842:AC842"/>
    <mergeCell ref="W870:AC870"/>
    <mergeCell ref="AC882:AH882"/>
    <mergeCell ref="AC773:AG773"/>
    <mergeCell ref="AC774:AG774"/>
    <mergeCell ref="AC782:AG785"/>
    <mergeCell ref="AC776:AG776"/>
    <mergeCell ref="X776:AB776"/>
    <mergeCell ref="X768:AB771"/>
    <mergeCell ref="AM742:AO742"/>
    <mergeCell ref="W860:AC860"/>
    <mergeCell ref="W853:AC853"/>
    <mergeCell ref="W841:AC841"/>
    <mergeCell ref="AG828:AJ828"/>
    <mergeCell ref="AG824:AJ824"/>
    <mergeCell ref="AG823:AJ823"/>
    <mergeCell ref="W869:AC869"/>
    <mergeCell ref="D1082:AK1084"/>
    <mergeCell ref="G741:J741"/>
    <mergeCell ref="A1078:B1078"/>
    <mergeCell ref="G743:J743"/>
    <mergeCell ref="A1071:B1071"/>
    <mergeCell ref="J788:N788"/>
    <mergeCell ref="BI844:BL844"/>
    <mergeCell ref="AC821:AF822"/>
    <mergeCell ref="Z814:AE814"/>
    <mergeCell ref="BD905:BE905"/>
    <mergeCell ref="D1071:AK1073"/>
    <mergeCell ref="K737:N737"/>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Y799:AC799"/>
    <mergeCell ref="J782:N785"/>
    <mergeCell ref="AJ974:AQ974"/>
    <mergeCell ref="W863:AC863"/>
    <mergeCell ref="W877:AC877"/>
    <mergeCell ref="M829:P829"/>
    <mergeCell ref="AC751:AG751"/>
    <mergeCell ref="AC752:AG752"/>
    <mergeCell ref="AM740:AO740"/>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CS653:CW653"/>
    <mergeCell ref="DR652:DV652"/>
    <mergeCell ref="BS651:BW651"/>
    <mergeCell ref="BS653:BW653"/>
    <mergeCell ref="CH649:CL649"/>
    <mergeCell ref="BS650:BW650"/>
    <mergeCell ref="BS642:BW642"/>
    <mergeCell ref="BS643:BW643"/>
    <mergeCell ref="BX642:CB642"/>
    <mergeCell ref="BX643:CB643"/>
    <mergeCell ref="CC643:CG643"/>
    <mergeCell ref="CS650:CW650"/>
    <mergeCell ref="CX650:DB650"/>
    <mergeCell ref="AO645:AS645"/>
    <mergeCell ref="BX651:CB651"/>
    <mergeCell ref="AO643:AS643"/>
    <mergeCell ref="DC650:DG650"/>
    <mergeCell ref="DH650:DL650"/>
    <mergeCell ref="DM650:DQ650"/>
    <mergeCell ref="DR650:DV650"/>
    <mergeCell ref="DR635:DV635"/>
    <mergeCell ref="CS635:CW635"/>
    <mergeCell ref="CX635:DB635"/>
    <mergeCell ref="DC635:DG635"/>
    <mergeCell ref="DH635:DL635"/>
    <mergeCell ref="DM635:DQ635"/>
    <mergeCell ref="DC649:DG649"/>
    <mergeCell ref="DR630:DV630"/>
    <mergeCell ref="DR629:DV629"/>
    <mergeCell ref="CS630:CW630"/>
    <mergeCell ref="CX630:DB630"/>
    <mergeCell ref="DC630:DG630"/>
    <mergeCell ref="DH630:DL630"/>
    <mergeCell ref="DM629:DQ629"/>
    <mergeCell ref="CS631:CW631"/>
    <mergeCell ref="CX631:DB631"/>
    <mergeCell ref="DC631:DG631"/>
    <mergeCell ref="DH631:DL631"/>
    <mergeCell ref="DR634:DV634"/>
    <mergeCell ref="DM623:DQ623"/>
    <mergeCell ref="DR623:DV623"/>
    <mergeCell ref="DM624:DQ624"/>
    <mergeCell ref="DR624:DV624"/>
    <mergeCell ref="DC634:DG63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34:DQ634"/>
    <mergeCell ref="DH634:DL634"/>
    <mergeCell ref="DC627:DG627"/>
    <mergeCell ref="DH627:DL627"/>
    <mergeCell ref="DM627:DQ627"/>
    <mergeCell ref="CS627:CW627"/>
    <mergeCell ref="DH626:DL626"/>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5:DG625"/>
    <mergeCell ref="DH625:DL625"/>
    <mergeCell ref="CS629:CW629"/>
    <mergeCell ref="CX629:DB629"/>
    <mergeCell ref="CS618:CW618"/>
    <mergeCell ref="CX618:DB618"/>
    <mergeCell ref="DC618:DG618"/>
    <mergeCell ref="DH618:DL618"/>
    <mergeCell ref="CX611:DB611"/>
    <mergeCell ref="DC611:DG611"/>
    <mergeCell ref="CS611:CW611"/>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S617:CW617"/>
    <mergeCell ref="CX617:DB617"/>
    <mergeCell ref="DC614:DG614"/>
    <mergeCell ref="DH614:DL614"/>
    <mergeCell ref="DM617:DQ617"/>
    <mergeCell ref="DR617:DV617"/>
    <mergeCell ref="CS616:CW616"/>
    <mergeCell ref="CX616:DB616"/>
    <mergeCell ref="DC616:DG616"/>
    <mergeCell ref="DH616:DL616"/>
    <mergeCell ref="DM615:DQ615"/>
    <mergeCell ref="DR615:DV615"/>
    <mergeCell ref="DC617:DG617"/>
    <mergeCell ref="DH617:DL617"/>
    <mergeCell ref="DM611:DQ611"/>
    <mergeCell ref="DR611:DV611"/>
    <mergeCell ref="DM612:DQ612"/>
    <mergeCell ref="DR612:DV612"/>
    <mergeCell ref="DR610:DV610"/>
    <mergeCell ref="CS609:CW609"/>
    <mergeCell ref="DC609:DG609"/>
    <mergeCell ref="CX609:DB609"/>
    <mergeCell ref="DH611:DL611"/>
    <mergeCell ref="DH609:DL609"/>
    <mergeCell ref="DH612:DL612"/>
    <mergeCell ref="CX613:DB613"/>
    <mergeCell ref="CS614:CW614"/>
    <mergeCell ref="CX614:DB614"/>
    <mergeCell ref="DM616:DQ616"/>
    <mergeCell ref="DR616:DV616"/>
    <mergeCell ref="DC613:DG613"/>
    <mergeCell ref="DM614:DQ614"/>
    <mergeCell ref="DR614:DV614"/>
    <mergeCell ref="CS613:CW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G579:R579"/>
    <mergeCell ref="H608:R608"/>
    <mergeCell ref="G614:R614"/>
    <mergeCell ref="G596:R596"/>
    <mergeCell ref="G613:R613"/>
    <mergeCell ref="DM613:DQ613"/>
    <mergeCell ref="DR613:DV613"/>
    <mergeCell ref="CS612:CW612"/>
    <mergeCell ref="CX612:DB612"/>
    <mergeCell ref="DC612:DG612"/>
    <mergeCell ref="Z606:AK606"/>
    <mergeCell ref="AF584:AK584"/>
    <mergeCell ref="Z595:AK595"/>
    <mergeCell ref="N593:O593"/>
    <mergeCell ref="G603:R603"/>
    <mergeCell ref="BK610:BL610"/>
    <mergeCell ref="BS610:BW610"/>
    <mergeCell ref="BX610:CB610"/>
    <mergeCell ref="BS609:BW609"/>
    <mergeCell ref="BN609:BR609"/>
    <mergeCell ref="BK615:BL615"/>
    <mergeCell ref="CC611:CG611"/>
    <mergeCell ref="BS613:BW613"/>
    <mergeCell ref="DM610:DQ610"/>
    <mergeCell ref="AA297:AK297"/>
    <mergeCell ref="AC370:AF370"/>
    <mergeCell ref="AJ355:AK355"/>
    <mergeCell ref="H336:R336"/>
    <mergeCell ref="AP204:AQ204"/>
    <mergeCell ref="BG609:BH609"/>
    <mergeCell ref="BN610:BR610"/>
    <mergeCell ref="D445:AF445"/>
    <mergeCell ref="D446:AF446"/>
    <mergeCell ref="AG441:AJ441"/>
    <mergeCell ref="M590:R590"/>
    <mergeCell ref="W575:Y575"/>
    <mergeCell ref="Q571:S571"/>
    <mergeCell ref="AJ356:AK356"/>
    <mergeCell ref="H319:R319"/>
    <mergeCell ref="P345:AE345"/>
    <mergeCell ref="I420:K420"/>
    <mergeCell ref="H330:M330"/>
    <mergeCell ref="H340:R340"/>
    <mergeCell ref="H337:R337"/>
    <mergeCell ref="P344:AE344"/>
    <mergeCell ref="H322:M322"/>
    <mergeCell ref="AA340:AK340"/>
    <mergeCell ref="P342:AE342"/>
    <mergeCell ref="H315:M315"/>
    <mergeCell ref="AI322:AK322"/>
    <mergeCell ref="H318:R318"/>
    <mergeCell ref="A350:AL351"/>
    <mergeCell ref="AC384:AJ384"/>
    <mergeCell ref="P420:R420"/>
    <mergeCell ref="AA322:AF322"/>
    <mergeCell ref="G663:R663"/>
    <mergeCell ref="BN663:BR663"/>
    <mergeCell ref="BN654:BR654"/>
    <mergeCell ref="BN653:BR653"/>
    <mergeCell ref="BN652:BR652"/>
    <mergeCell ref="BN651:BR651"/>
    <mergeCell ref="Z657:AE657"/>
    <mergeCell ref="Z662:AK662"/>
    <mergeCell ref="AA658:AK658"/>
    <mergeCell ref="H658:R658"/>
    <mergeCell ref="BS649:BW649"/>
    <mergeCell ref="AO647:AS647"/>
    <mergeCell ref="O639:Q639"/>
    <mergeCell ref="O640:Q640"/>
    <mergeCell ref="O641:Q641"/>
    <mergeCell ref="BN648:BR648"/>
    <mergeCell ref="P657:R657"/>
    <mergeCell ref="AI657:AK657"/>
    <mergeCell ref="O646:Q646"/>
    <mergeCell ref="R645:T645"/>
    <mergeCell ref="O644:Q644"/>
    <mergeCell ref="G653:R653"/>
    <mergeCell ref="O642:Q642"/>
    <mergeCell ref="R639:T639"/>
    <mergeCell ref="O645:Q645"/>
    <mergeCell ref="BN649:BR649"/>
    <mergeCell ref="B651:AN651"/>
    <mergeCell ref="X639:AB639"/>
    <mergeCell ref="X640:AB640"/>
    <mergeCell ref="X641:AB641"/>
    <mergeCell ref="X642:AB642"/>
    <mergeCell ref="X643:AB643"/>
    <mergeCell ref="X644:AB644"/>
    <mergeCell ref="X645:AB645"/>
    <mergeCell ref="X638:AB638"/>
    <mergeCell ref="O638:Q638"/>
    <mergeCell ref="R637:T637"/>
    <mergeCell ref="R638:T638"/>
    <mergeCell ref="AC643:AE643"/>
    <mergeCell ref="AC644:AE644"/>
    <mergeCell ref="AC645:AE645"/>
    <mergeCell ref="X634:AB636"/>
    <mergeCell ref="R642:T642"/>
    <mergeCell ref="U641:W641"/>
    <mergeCell ref="O637:Q637"/>
    <mergeCell ref="U634:W636"/>
    <mergeCell ref="AC639:AE639"/>
    <mergeCell ref="R643:T643"/>
    <mergeCell ref="U640:W640"/>
    <mergeCell ref="R644:T644"/>
    <mergeCell ref="AK637:AN637"/>
    <mergeCell ref="AC634:AE636"/>
    <mergeCell ref="BN641:BR641"/>
    <mergeCell ref="AF639:AJ639"/>
    <mergeCell ref="BN630:BR630"/>
    <mergeCell ref="BS630:BW630"/>
    <mergeCell ref="BN631:BR631"/>
    <mergeCell ref="BS631:BW631"/>
    <mergeCell ref="AO637:AS637"/>
    <mergeCell ref="AK638:AN638"/>
    <mergeCell ref="AC642:AE642"/>
    <mergeCell ref="AF634:AJ636"/>
    <mergeCell ref="AF637:AJ637"/>
    <mergeCell ref="AF638:AJ638"/>
    <mergeCell ref="AO642:AS642"/>
    <mergeCell ref="AO634:AS636"/>
    <mergeCell ref="BG635:BH635"/>
    <mergeCell ref="BK635:BL635"/>
    <mergeCell ref="BN635:BR635"/>
    <mergeCell ref="BS635:BW635"/>
    <mergeCell ref="BK634:BL634"/>
    <mergeCell ref="BN634:BR634"/>
    <mergeCell ref="AO640:AS640"/>
    <mergeCell ref="BS641:BW641"/>
    <mergeCell ref="AO641:AS641"/>
    <mergeCell ref="BN642:BR642"/>
    <mergeCell ref="BG634:BH634"/>
    <mergeCell ref="BI634:BJ634"/>
    <mergeCell ref="AK640:AN640"/>
    <mergeCell ref="AK641:AN641"/>
    <mergeCell ref="AK642:AN642"/>
    <mergeCell ref="BS640:BW640"/>
    <mergeCell ref="AO650:AS650"/>
    <mergeCell ref="AF643:AJ643"/>
    <mergeCell ref="CX619:DB619"/>
    <mergeCell ref="DC619:DG619"/>
    <mergeCell ref="BS619:BW619"/>
    <mergeCell ref="CH624:CL624"/>
    <mergeCell ref="BX624:CB624"/>
    <mergeCell ref="CH623:CL623"/>
    <mergeCell ref="BN629:BR629"/>
    <mergeCell ref="BK632:BL632"/>
    <mergeCell ref="BN632:BR632"/>
    <mergeCell ref="BS632:BW632"/>
    <mergeCell ref="BG631:BH631"/>
    <mergeCell ref="BI631:BJ631"/>
    <mergeCell ref="BK631:BL631"/>
    <mergeCell ref="BG630:BH630"/>
    <mergeCell ref="BE627:BF627"/>
    <mergeCell ref="BI630:BJ630"/>
    <mergeCell ref="BK630:BL630"/>
    <mergeCell ref="BX630:CB630"/>
    <mergeCell ref="BS627:BW627"/>
    <mergeCell ref="BX627:CB627"/>
    <mergeCell ref="CC630:CG630"/>
    <mergeCell ref="BS626:BW626"/>
    <mergeCell ref="BI624:BJ624"/>
    <mergeCell ref="CH630:CL630"/>
    <mergeCell ref="BG624:BH624"/>
    <mergeCell ref="B650:AN650"/>
    <mergeCell ref="AC640:AE640"/>
    <mergeCell ref="AC641:AE641"/>
    <mergeCell ref="CH629:CL629"/>
    <mergeCell ref="AK634:AN636"/>
    <mergeCell ref="DM618:DQ618"/>
    <mergeCell ref="DR618:DV618"/>
    <mergeCell ref="B729:F729"/>
    <mergeCell ref="E717:AK717"/>
    <mergeCell ref="B724:F727"/>
    <mergeCell ref="G729:J729"/>
    <mergeCell ref="AE705:AI705"/>
    <mergeCell ref="N691:O691"/>
    <mergeCell ref="K730:N730"/>
    <mergeCell ref="K731:N731"/>
    <mergeCell ref="K732:N732"/>
    <mergeCell ref="K733:N733"/>
    <mergeCell ref="T728:X728"/>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AI681:AK681"/>
    <mergeCell ref="Z679:AK679"/>
    <mergeCell ref="BK619:BL619"/>
    <mergeCell ref="CC620:CG620"/>
    <mergeCell ref="CH620:CL620"/>
    <mergeCell ref="BG622:BH62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AE708:AI70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B733:F733"/>
    <mergeCell ref="Y732:AB732"/>
    <mergeCell ref="G739:J739"/>
    <mergeCell ref="B741:F741"/>
    <mergeCell ref="B736:F736"/>
    <mergeCell ref="B731:F731"/>
    <mergeCell ref="AH728:AL728"/>
    <mergeCell ref="Z812:AE812"/>
    <mergeCell ref="W843:AC843"/>
    <mergeCell ref="K738:N738"/>
    <mergeCell ref="K739:N739"/>
    <mergeCell ref="J793:N793"/>
    <mergeCell ref="B728:F728"/>
    <mergeCell ref="F912:T912"/>
    <mergeCell ref="M859:V859"/>
    <mergeCell ref="A907:AL908"/>
    <mergeCell ref="F913:T914"/>
    <mergeCell ref="U917:Z917"/>
    <mergeCell ref="U927:Z927"/>
    <mergeCell ref="M942:S942"/>
    <mergeCell ref="U923:Z923"/>
    <mergeCell ref="AA916:AF916"/>
    <mergeCell ref="C830:L830"/>
    <mergeCell ref="U825:X825"/>
    <mergeCell ref="E883:AB883"/>
    <mergeCell ref="W847:AC847"/>
    <mergeCell ref="W868:AC868"/>
    <mergeCell ref="W850:AC850"/>
    <mergeCell ref="W851:AC851"/>
    <mergeCell ref="AB914:AE914"/>
    <mergeCell ref="AA924:AF924"/>
    <mergeCell ref="AA929:AF929"/>
    <mergeCell ref="W840:AC840"/>
    <mergeCell ref="AC828:AF828"/>
    <mergeCell ref="M844:V844"/>
    <mergeCell ref="AG829:AJ829"/>
    <mergeCell ref="Y829:AB829"/>
    <mergeCell ref="U829:X829"/>
    <mergeCell ref="AG827:AJ827"/>
    <mergeCell ref="W864:AC864"/>
    <mergeCell ref="AC887:AH887"/>
    <mergeCell ref="M872:V872"/>
    <mergeCell ref="AC884:AH884"/>
    <mergeCell ref="Q830:T830"/>
    <mergeCell ref="M830:P830"/>
    <mergeCell ref="W855:AC855"/>
    <mergeCell ref="J847:V847"/>
    <mergeCell ref="G745:J745"/>
    <mergeCell ref="G678:R678"/>
    <mergeCell ref="P681:R681"/>
    <mergeCell ref="G753:J753"/>
    <mergeCell ref="G670:R670"/>
    <mergeCell ref="AG699:AH699"/>
    <mergeCell ref="Y731:AB731"/>
    <mergeCell ref="G724:J727"/>
    <mergeCell ref="P673:R673"/>
    <mergeCell ref="G669:R669"/>
    <mergeCell ref="AI689:AK689"/>
    <mergeCell ref="O743:S743"/>
    <mergeCell ref="AH744:AL744"/>
    <mergeCell ref="AC743:AG743"/>
    <mergeCell ref="AC731:AG731"/>
    <mergeCell ref="Y828:AB828"/>
    <mergeCell ref="U828:X828"/>
    <mergeCell ref="AC825:AF825"/>
    <mergeCell ref="J790:N790"/>
    <mergeCell ref="Y748:AB748"/>
    <mergeCell ref="O788:S788"/>
    <mergeCell ref="AH745:AL745"/>
    <mergeCell ref="AH746:AL746"/>
    <mergeCell ref="O793:S793"/>
    <mergeCell ref="T773:W773"/>
    <mergeCell ref="AC772:AG772"/>
    <mergeCell ref="X774:AB774"/>
    <mergeCell ref="Y746:AB746"/>
    <mergeCell ref="AF755:AH755"/>
    <mergeCell ref="AH752:AL752"/>
    <mergeCell ref="X791:AB791"/>
    <mergeCell ref="O729:S729"/>
    <mergeCell ref="B735:F735"/>
    <mergeCell ref="B734:F734"/>
    <mergeCell ref="AM738:AO738"/>
    <mergeCell ref="AM733:AO733"/>
    <mergeCell ref="AM729:AO729"/>
    <mergeCell ref="X648:AB648"/>
    <mergeCell ref="B738:F738"/>
    <mergeCell ref="B737:F737"/>
    <mergeCell ref="Y738:AB738"/>
    <mergeCell ref="Y724:AB727"/>
    <mergeCell ref="AC733:AG733"/>
    <mergeCell ref="X646:AB646"/>
    <mergeCell ref="X647:AB647"/>
    <mergeCell ref="T736:X736"/>
    <mergeCell ref="T737:X737"/>
    <mergeCell ref="AO648:AS648"/>
    <mergeCell ref="Z697:AE697"/>
    <mergeCell ref="T724:X727"/>
    <mergeCell ref="AC724:AG727"/>
    <mergeCell ref="G694:R694"/>
    <mergeCell ref="AM728:AO728"/>
    <mergeCell ref="AM732:AO732"/>
    <mergeCell ref="AO649:AS649"/>
    <mergeCell ref="AM730:AO730"/>
    <mergeCell ref="T730:X730"/>
    <mergeCell ref="K736:N736"/>
    <mergeCell ref="Z694:AK694"/>
    <mergeCell ref="AF648:AJ648"/>
    <mergeCell ref="O647:Q647"/>
    <mergeCell ref="O648:Q648"/>
    <mergeCell ref="Z656:AK656"/>
    <mergeCell ref="G656:R6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AE943:AK943"/>
    <mergeCell ref="W958:AG958"/>
    <mergeCell ref="AA953:AG953"/>
    <mergeCell ref="T956:Z956"/>
    <mergeCell ref="AA928:AF928"/>
    <mergeCell ref="AA917:AF917"/>
    <mergeCell ref="U919:Z919"/>
    <mergeCell ref="AA921:AF921"/>
    <mergeCell ref="AA933:AF933"/>
    <mergeCell ref="AA919:AF919"/>
    <mergeCell ref="U921:Z921"/>
    <mergeCell ref="T957:Z957"/>
    <mergeCell ref="I931:T931"/>
    <mergeCell ref="U922:Z922"/>
    <mergeCell ref="M954:S954"/>
    <mergeCell ref="AA956:AG956"/>
    <mergeCell ref="AC890:AH890"/>
    <mergeCell ref="BD907:BF907"/>
    <mergeCell ref="BD901:BE901"/>
    <mergeCell ref="BD903:BE903"/>
    <mergeCell ref="BD904:BE904"/>
    <mergeCell ref="U932:Z932"/>
    <mergeCell ref="U926:Z926"/>
    <mergeCell ref="AA926:AF926"/>
    <mergeCell ref="AA915:AF915"/>
    <mergeCell ref="Z896:AE896"/>
    <mergeCell ref="AF640:AJ640"/>
    <mergeCell ref="AF641:AJ641"/>
    <mergeCell ref="AF642:AJ642"/>
    <mergeCell ref="R640:T640"/>
    <mergeCell ref="R641:T641"/>
    <mergeCell ref="H674:R674"/>
    <mergeCell ref="AA666:AK666"/>
    <mergeCell ref="Z673:AE673"/>
    <mergeCell ref="AG683:AH683"/>
    <mergeCell ref="AK643:AN643"/>
    <mergeCell ref="AK644:AN644"/>
    <mergeCell ref="AK645:AN645"/>
    <mergeCell ref="AK646:AN646"/>
    <mergeCell ref="AK647:AN647"/>
    <mergeCell ref="AK648:AN648"/>
    <mergeCell ref="AC734:AG734"/>
    <mergeCell ref="AC730:AG730"/>
    <mergeCell ref="BD906:BE906"/>
    <mergeCell ref="BD902:BE902"/>
    <mergeCell ref="W859:AC859"/>
    <mergeCell ref="M875:V875"/>
    <mergeCell ref="W876:AC876"/>
    <mergeCell ref="M873:V873"/>
    <mergeCell ref="W875:AC875"/>
    <mergeCell ref="BD908:BF908"/>
    <mergeCell ref="AC891:AH891"/>
    <mergeCell ref="AA955:AG955"/>
    <mergeCell ref="AE946:AK946"/>
    <mergeCell ref="AA922:AF922"/>
    <mergeCell ref="U915:Z915"/>
    <mergeCell ref="M940:S940"/>
    <mergeCell ref="AC892:AH892"/>
    <mergeCell ref="AA920:AF920"/>
    <mergeCell ref="W844:AC844"/>
    <mergeCell ref="W849:AC849"/>
    <mergeCell ref="W845:AC845"/>
    <mergeCell ref="AZ854:BA854"/>
    <mergeCell ref="W874:AC874"/>
    <mergeCell ref="M874:V874"/>
    <mergeCell ref="M946:S946"/>
    <mergeCell ref="M943:S943"/>
    <mergeCell ref="J941:S941"/>
    <mergeCell ref="Z897:AE897"/>
    <mergeCell ref="W867:AC867"/>
    <mergeCell ref="AC886:AH886"/>
    <mergeCell ref="I932:T932"/>
    <mergeCell ref="M876:V876"/>
    <mergeCell ref="U920:Z920"/>
    <mergeCell ref="AC881:AH881"/>
    <mergeCell ref="Q828:T828"/>
    <mergeCell ref="U830:X830"/>
    <mergeCell ref="AC829:AF829"/>
    <mergeCell ref="Q827:T827"/>
    <mergeCell ref="W873:AC873"/>
    <mergeCell ref="T856:V856"/>
    <mergeCell ref="T858:V858"/>
    <mergeCell ref="W865:AC865"/>
    <mergeCell ref="AO638:AS638"/>
    <mergeCell ref="H324:R324"/>
    <mergeCell ref="N371:Q371"/>
    <mergeCell ref="B649:AN649"/>
    <mergeCell ref="B751:F751"/>
    <mergeCell ref="B744:F744"/>
    <mergeCell ref="B746:F746"/>
    <mergeCell ref="Y744:AB744"/>
    <mergeCell ref="Y745:AB745"/>
    <mergeCell ref="B747:F747"/>
    <mergeCell ref="B745:F745"/>
    <mergeCell ref="AO651:AS651"/>
    <mergeCell ref="G654:R654"/>
    <mergeCell ref="Z655:AK655"/>
    <mergeCell ref="Z664:AK664"/>
    <mergeCell ref="AI697:AK697"/>
    <mergeCell ref="AA690:AK690"/>
    <mergeCell ref="G681:L681"/>
    <mergeCell ref="O728:S728"/>
    <mergeCell ref="T732:X732"/>
    <mergeCell ref="B742:F742"/>
    <mergeCell ref="AH724:AL727"/>
    <mergeCell ref="AH730:AL730"/>
    <mergeCell ref="AH731:AL731"/>
    <mergeCell ref="P697:R697"/>
    <mergeCell ref="AG625:AH625"/>
    <mergeCell ref="N625:O625"/>
    <mergeCell ref="G661:R661"/>
    <mergeCell ref="AK639:AN639"/>
    <mergeCell ref="T733:X733"/>
    <mergeCell ref="T734:X734"/>
    <mergeCell ref="T735:X735"/>
    <mergeCell ref="Z653:AK653"/>
    <mergeCell ref="G697:L697"/>
    <mergeCell ref="K728:N728"/>
    <mergeCell ref="K729:N729"/>
    <mergeCell ref="AG675:AH675"/>
    <mergeCell ref="AG667:AH667"/>
    <mergeCell ref="G671:R671"/>
    <mergeCell ref="G680:R680"/>
    <mergeCell ref="O730:S730"/>
    <mergeCell ref="H682:R682"/>
    <mergeCell ref="G673:L673"/>
    <mergeCell ref="Z687:AK687"/>
    <mergeCell ref="G655:R655"/>
    <mergeCell ref="AE709:AI709"/>
    <mergeCell ref="G730:J730"/>
    <mergeCell ref="Z693:AK693"/>
    <mergeCell ref="AC729:AG729"/>
    <mergeCell ref="G664:R664"/>
    <mergeCell ref="O724:S727"/>
    <mergeCell ref="W710:AK710"/>
    <mergeCell ref="AG691:AH691"/>
    <mergeCell ref="AE706:AI706"/>
    <mergeCell ref="AC728:AG728"/>
    <mergeCell ref="AH732:AL732"/>
    <mergeCell ref="Q829:T829"/>
    <mergeCell ref="AC830:AF830"/>
    <mergeCell ref="AG659:AH659"/>
    <mergeCell ref="Z661:AK661"/>
    <mergeCell ref="M824:P824"/>
    <mergeCell ref="J715:O715"/>
    <mergeCell ref="G677:R677"/>
    <mergeCell ref="AC768:AG771"/>
    <mergeCell ref="AA674:AK674"/>
    <mergeCell ref="T794:W794"/>
    <mergeCell ref="Y827:AB827"/>
    <mergeCell ref="AC827:AF827"/>
    <mergeCell ref="M827:P827"/>
    <mergeCell ref="M823:P823"/>
    <mergeCell ref="AH747:AL747"/>
    <mergeCell ref="T768:W771"/>
    <mergeCell ref="J773:N773"/>
    <mergeCell ref="O773:S773"/>
    <mergeCell ref="J787:N787"/>
    <mergeCell ref="T745:X745"/>
    <mergeCell ref="T746:X746"/>
    <mergeCell ref="Y825:AB825"/>
    <mergeCell ref="AH753:AL753"/>
    <mergeCell ref="Q824:T824"/>
    <mergeCell ref="AG825:AJ825"/>
    <mergeCell ref="U826:X826"/>
    <mergeCell ref="Y826:AB826"/>
    <mergeCell ref="J795:N795"/>
    <mergeCell ref="O795:S795"/>
    <mergeCell ref="O796:S796"/>
    <mergeCell ref="T795:W795"/>
    <mergeCell ref="X773:AB773"/>
    <mergeCell ref="AO639:AS639"/>
    <mergeCell ref="AO646:AS64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39:M339"/>
    <mergeCell ref="AE424:AF424"/>
    <mergeCell ref="D467:V467"/>
    <mergeCell ref="D448:AF448"/>
    <mergeCell ref="D444:AF444"/>
    <mergeCell ref="AG392:AJ392"/>
    <mergeCell ref="AG390:AJ390"/>
    <mergeCell ref="P348:AE348"/>
    <mergeCell ref="AC369:AF369"/>
    <mergeCell ref="P347:Z347"/>
    <mergeCell ref="N372:AF373"/>
    <mergeCell ref="AI391:AJ391"/>
    <mergeCell ref="Q428:R428"/>
    <mergeCell ref="E417:G417"/>
    <mergeCell ref="I417:K417"/>
    <mergeCell ref="AD410:AE410"/>
    <mergeCell ref="I189:P189"/>
    <mergeCell ref="Y198:Z198"/>
    <mergeCell ref="U175:V175"/>
    <mergeCell ref="I391:N391"/>
    <mergeCell ref="P423:Q423"/>
    <mergeCell ref="P322:R322"/>
    <mergeCell ref="V381:W381"/>
    <mergeCell ref="AF417:AH417"/>
    <mergeCell ref="Y363:Z363"/>
    <mergeCell ref="Q364:AG364"/>
    <mergeCell ref="H326:R326"/>
    <mergeCell ref="AA320:AK320"/>
    <mergeCell ref="AG389:AJ389"/>
    <mergeCell ref="J384:U384"/>
    <mergeCell ref="V380:W380"/>
    <mergeCell ref="AC346:AE346"/>
    <mergeCell ref="Q390:U390"/>
    <mergeCell ref="AG393:AJ393"/>
    <mergeCell ref="Q389:U389"/>
    <mergeCell ref="AI388:AJ388"/>
    <mergeCell ref="E367:AH368"/>
    <mergeCell ref="AA323:AF323"/>
    <mergeCell ref="H328:R328"/>
    <mergeCell ref="AI396:AJ396"/>
    <mergeCell ref="T398:AJ398"/>
    <mergeCell ref="T397:AJ397"/>
    <mergeCell ref="AA329:AK329"/>
    <mergeCell ref="M354:N354"/>
    <mergeCell ref="AD376:AE376"/>
    <mergeCell ref="AG400:AJ400"/>
    <mergeCell ref="M235:R235"/>
    <mergeCell ref="Z235:AE235"/>
    <mergeCell ref="A221:AL2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Y132:AK132"/>
    <mergeCell ref="A12:AL12"/>
    <mergeCell ref="G122:H122"/>
    <mergeCell ref="L122:N122"/>
    <mergeCell ref="Y129:AK129"/>
    <mergeCell ref="A11:AL11"/>
    <mergeCell ref="A13:AL14"/>
    <mergeCell ref="AI178:AK178"/>
    <mergeCell ref="J174:Z174"/>
    <mergeCell ref="M233:T233"/>
    <mergeCell ref="W233:X233"/>
    <mergeCell ref="E187:AE188"/>
    <mergeCell ref="H295:R295"/>
    <mergeCell ref="V275:W275"/>
    <mergeCell ref="H288:R288"/>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O156:AH156"/>
    <mergeCell ref="O157:X157"/>
    <mergeCell ref="O158:R158"/>
    <mergeCell ref="W159:X159"/>
    <mergeCell ref="P204:U204"/>
    <mergeCell ref="D164:AH164"/>
    <mergeCell ref="M242:AE242"/>
    <mergeCell ref="T196:U196"/>
    <mergeCell ref="M247:AE247"/>
    <mergeCell ref="I185:AE185"/>
    <mergeCell ref="T194:U194"/>
    <mergeCell ref="AI290:AK290"/>
    <mergeCell ref="H291:M291"/>
    <mergeCell ref="AI228:AJ228"/>
    <mergeCell ref="O161:AH161"/>
    <mergeCell ref="H304:R304"/>
    <mergeCell ref="AA264:AK264"/>
    <mergeCell ref="H303:R303"/>
    <mergeCell ref="A281:AL282"/>
    <mergeCell ref="M256:T256"/>
    <mergeCell ref="M255:AE255"/>
    <mergeCell ref="M237:T237"/>
    <mergeCell ref="Z203:AF205"/>
    <mergeCell ref="H299:M299"/>
    <mergeCell ref="H300:R300"/>
    <mergeCell ref="M262:R262"/>
    <mergeCell ref="AA299:AF299"/>
    <mergeCell ref="M258:AE258"/>
    <mergeCell ref="AA256:AK256"/>
    <mergeCell ref="M259:AE259"/>
    <mergeCell ref="M254:R254"/>
    <mergeCell ref="AA302:AK302"/>
    <mergeCell ref="D269:H269"/>
    <mergeCell ref="X269:AC269"/>
    <mergeCell ref="AA287:AK287"/>
    <mergeCell ref="H286:R286"/>
    <mergeCell ref="AH245:AK245"/>
    <mergeCell ref="U262:W262"/>
    <mergeCell ref="AA288:AK288"/>
    <mergeCell ref="AA303:AK303"/>
    <mergeCell ref="M264:T264"/>
    <mergeCell ref="H294:R294"/>
    <mergeCell ref="Z254:AE254"/>
    <mergeCell ref="O160:T160"/>
    <mergeCell ref="M261:AE261"/>
    <mergeCell ref="M26:Q26"/>
    <mergeCell ref="AF250:AK250"/>
    <mergeCell ref="H289:R289"/>
    <mergeCell ref="L278:AD278"/>
    <mergeCell ref="M260:T260"/>
    <mergeCell ref="AA237:AK237"/>
    <mergeCell ref="T190:AE190"/>
    <mergeCell ref="AA298:AF298"/>
    <mergeCell ref="AA286:AK286"/>
    <mergeCell ref="T266:X266"/>
    <mergeCell ref="P298:R298"/>
    <mergeCell ref="X176:Y176"/>
    <mergeCell ref="X180:Y180"/>
    <mergeCell ref="AC244:AE244"/>
    <mergeCell ref="M245:AE245"/>
    <mergeCell ref="W244:X244"/>
    <mergeCell ref="H297:R297"/>
    <mergeCell ref="O159:T159"/>
    <mergeCell ref="M238:AE238"/>
    <mergeCell ref="U246:W246"/>
    <mergeCell ref="AH253:AK253"/>
    <mergeCell ref="AH261:AK261"/>
    <mergeCell ref="H298:M298"/>
    <mergeCell ref="Z246:AE246"/>
    <mergeCell ref="T193:AI193"/>
    <mergeCell ref="D204:M204"/>
    <mergeCell ref="R177:S177"/>
    <mergeCell ref="U235:W235"/>
    <mergeCell ref="I184:AE184"/>
    <mergeCell ref="AA306:AF306"/>
    <mergeCell ref="H312:R312"/>
    <mergeCell ref="AA314:AF314"/>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Z262:AE262"/>
    <mergeCell ref="C124:K124"/>
    <mergeCell ref="T195:U195"/>
    <mergeCell ref="D219:Z219"/>
    <mergeCell ref="AC233:AE233"/>
    <mergeCell ref="P290:R290"/>
    <mergeCell ref="L273:AJ273"/>
    <mergeCell ref="H290:M290"/>
    <mergeCell ref="M244:T244"/>
    <mergeCell ref="M263:AE263"/>
    <mergeCell ref="H292:R292"/>
    <mergeCell ref="M231:AK231"/>
    <mergeCell ref="A169:AL170"/>
    <mergeCell ref="W260:X260"/>
    <mergeCell ref="AA304:AK304"/>
    <mergeCell ref="V376:W376"/>
    <mergeCell ref="S376:T376"/>
    <mergeCell ref="AJ354:AK354"/>
    <mergeCell ref="AA292:AK292"/>
    <mergeCell ref="L276:AD276"/>
    <mergeCell ref="T277:V277"/>
    <mergeCell ref="L275:S275"/>
    <mergeCell ref="L277:Q277"/>
    <mergeCell ref="AA295:AK295"/>
    <mergeCell ref="AA290:AF290"/>
    <mergeCell ref="H305:R305"/>
    <mergeCell ref="AA313:AK313"/>
    <mergeCell ref="AA310:AK310"/>
    <mergeCell ref="H307:M307"/>
    <mergeCell ref="P306:R306"/>
    <mergeCell ref="AI338:AK338"/>
    <mergeCell ref="AA339:AF339"/>
    <mergeCell ref="AA296:AK296"/>
    <mergeCell ref="AA308:AK308"/>
    <mergeCell ref="AA300:AK300"/>
    <mergeCell ref="H306:M306"/>
    <mergeCell ref="AA307:AF307"/>
    <mergeCell ref="AA311:AK311"/>
    <mergeCell ref="AI306:AK306"/>
    <mergeCell ref="H311:R311"/>
    <mergeCell ref="AA305:AK305"/>
    <mergeCell ref="AA338:AF338"/>
    <mergeCell ref="H335:R335"/>
    <mergeCell ref="H331:M331"/>
    <mergeCell ref="AA335:AK335"/>
    <mergeCell ref="AA328:AK328"/>
    <mergeCell ref="H308:R308"/>
    <mergeCell ref="N370:Q370"/>
    <mergeCell ref="AG379:AH379"/>
    <mergeCell ref="N377:P377"/>
    <mergeCell ref="AA337:AK337"/>
    <mergeCell ref="J385:U385"/>
    <mergeCell ref="AC386:AJ386"/>
    <mergeCell ref="V387:AJ387"/>
    <mergeCell ref="J387:U387"/>
    <mergeCell ref="AG394:AJ394"/>
    <mergeCell ref="AI314:AK314"/>
    <mergeCell ref="P314:R314"/>
    <mergeCell ref="H310:R310"/>
    <mergeCell ref="Q393:U393"/>
    <mergeCell ref="J386:U386"/>
    <mergeCell ref="AC385:AJ385"/>
    <mergeCell ref="H313:R313"/>
    <mergeCell ref="H314:M314"/>
    <mergeCell ref="AA315:AF315"/>
    <mergeCell ref="H316:R316"/>
    <mergeCell ref="AG376:AH376"/>
    <mergeCell ref="AA326:AK326"/>
    <mergeCell ref="N369:Q369"/>
    <mergeCell ref="AA334:AK334"/>
    <mergeCell ref="H320:R320"/>
    <mergeCell ref="H321:R321"/>
    <mergeCell ref="AA330:AF330"/>
    <mergeCell ref="P330:R330"/>
    <mergeCell ref="H332:R332"/>
    <mergeCell ref="H329:R329"/>
    <mergeCell ref="AA316:AK316"/>
    <mergeCell ref="AA324:AK324"/>
    <mergeCell ref="AH517:AK517"/>
    <mergeCell ref="AC519:AF519"/>
    <mergeCell ref="AH519:AK519"/>
    <mergeCell ref="Q497:AK497"/>
    <mergeCell ref="Y488:AC488"/>
    <mergeCell ref="T490:X490"/>
    <mergeCell ref="Y494:AC494"/>
    <mergeCell ref="Q499:AK499"/>
    <mergeCell ref="Y490:AC490"/>
    <mergeCell ref="B501:P502"/>
    <mergeCell ref="AH513:AK513"/>
    <mergeCell ref="AH518:AK518"/>
    <mergeCell ref="AH527:AK527"/>
    <mergeCell ref="AC530:AF530"/>
    <mergeCell ref="B526:H528"/>
    <mergeCell ref="AA332:AK332"/>
    <mergeCell ref="AA312:AK312"/>
    <mergeCell ref="AA318:AK318"/>
    <mergeCell ref="H327:R327"/>
    <mergeCell ref="AA319:AK319"/>
    <mergeCell ref="AA321:AK321"/>
    <mergeCell ref="H338:M338"/>
    <mergeCell ref="H323:M323"/>
    <mergeCell ref="AA336:AK336"/>
    <mergeCell ref="AC543:AF543"/>
    <mergeCell ref="W566:Y566"/>
    <mergeCell ref="AC546:AF546"/>
    <mergeCell ref="Q566:S566"/>
    <mergeCell ref="AH551:AK551"/>
    <mergeCell ref="AI563:AL563"/>
    <mergeCell ref="A556:AS557"/>
    <mergeCell ref="A478:AL479"/>
    <mergeCell ref="AC536:AF536"/>
    <mergeCell ref="AD484:AH485"/>
    <mergeCell ref="AH534:AK534"/>
    <mergeCell ref="Q504:AK504"/>
    <mergeCell ref="T486:X486"/>
    <mergeCell ref="Y489:AC489"/>
    <mergeCell ref="T484:X485"/>
    <mergeCell ref="Y487:AC487"/>
    <mergeCell ref="Y486:AC486"/>
    <mergeCell ref="T487:X487"/>
    <mergeCell ref="AH514:AK514"/>
    <mergeCell ref="AC515:AF515"/>
    <mergeCell ref="AH531:AK531"/>
    <mergeCell ref="AC511:AK511"/>
    <mergeCell ref="O547:AA547"/>
    <mergeCell ref="AH535:AK535"/>
    <mergeCell ref="AC534:AF534"/>
    <mergeCell ref="AH529:AK529"/>
    <mergeCell ref="Q498:AK498"/>
    <mergeCell ref="AC516:AF516"/>
    <mergeCell ref="AH533:AK533"/>
    <mergeCell ref="AC542:AF542"/>
    <mergeCell ref="O538:AA538"/>
    <mergeCell ref="AC541:AF541"/>
    <mergeCell ref="W563:Y563"/>
    <mergeCell ref="AC548:AF548"/>
    <mergeCell ref="AH548:AK548"/>
    <mergeCell ref="W565:Y565"/>
    <mergeCell ref="Z571:AD571"/>
    <mergeCell ref="AH547:AK547"/>
    <mergeCell ref="AC547:AF547"/>
    <mergeCell ref="W569:Y569"/>
    <mergeCell ref="W571:Y571"/>
    <mergeCell ref="W572:Y572"/>
    <mergeCell ref="W573:Y573"/>
    <mergeCell ref="W574:Y574"/>
    <mergeCell ref="Z572:AD572"/>
    <mergeCell ref="Z573:AD573"/>
    <mergeCell ref="AH546:AK546"/>
    <mergeCell ref="Z570:AD570"/>
    <mergeCell ref="Z566:AD566"/>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588:AK588"/>
    <mergeCell ref="C573:P573"/>
    <mergeCell ref="C571:P571"/>
    <mergeCell ref="Q572:S572"/>
    <mergeCell ref="Q573:S573"/>
    <mergeCell ref="Q574:S574"/>
    <mergeCell ref="G607:L607"/>
    <mergeCell ref="G606:R606"/>
    <mergeCell ref="P623:R623"/>
    <mergeCell ref="BS620:BW620"/>
    <mergeCell ref="BG623:BH623"/>
    <mergeCell ref="AG617:AH617"/>
    <mergeCell ref="AI615:AK615"/>
    <mergeCell ref="Z605:AK605"/>
    <mergeCell ref="Z596:AK596"/>
    <mergeCell ref="AA608:AK608"/>
    <mergeCell ref="BE610:BF610"/>
    <mergeCell ref="BE618:BF618"/>
    <mergeCell ref="BE616:BF616"/>
    <mergeCell ref="BE615:BF615"/>
    <mergeCell ref="H600:R600"/>
    <mergeCell ref="BS614:BW614"/>
    <mergeCell ref="BX614:CB614"/>
    <mergeCell ref="BG610:BH610"/>
    <mergeCell ref="G612:R612"/>
    <mergeCell ref="BE617:BF617"/>
    <mergeCell ref="BG621:BH621"/>
    <mergeCell ref="BE620:BF620"/>
    <mergeCell ref="BS612:BW612"/>
    <mergeCell ref="G604:R604"/>
    <mergeCell ref="Z598:AK598"/>
    <mergeCell ref="G615:L615"/>
    <mergeCell ref="Z615:AE615"/>
    <mergeCell ref="Z619:AK619"/>
    <mergeCell ref="G619:R619"/>
    <mergeCell ref="AI623:AK623"/>
    <mergeCell ref="G621:R621"/>
    <mergeCell ref="Z613:AK613"/>
    <mergeCell ref="N617:O617"/>
    <mergeCell ref="P607:R607"/>
    <mergeCell ref="G599:L599"/>
    <mergeCell ref="BN615:BR615"/>
    <mergeCell ref="BK617:BL617"/>
    <mergeCell ref="BI611:BJ611"/>
    <mergeCell ref="BK616:BL616"/>
    <mergeCell ref="BX611:CB611"/>
    <mergeCell ref="BX617:CB617"/>
    <mergeCell ref="CC617:CG617"/>
    <mergeCell ref="BG617:BH617"/>
    <mergeCell ref="BN617:BR617"/>
    <mergeCell ref="BN614:BR614"/>
    <mergeCell ref="BX616:CB616"/>
    <mergeCell ref="BS616:BW616"/>
    <mergeCell ref="BI618:BJ618"/>
    <mergeCell ref="BI617:BJ617"/>
    <mergeCell ref="BS617:BW617"/>
    <mergeCell ref="BG612:BH612"/>
    <mergeCell ref="BX619:CB619"/>
    <mergeCell ref="BI619:BJ619"/>
    <mergeCell ref="BG619:BH619"/>
    <mergeCell ref="BG615:BH615"/>
    <mergeCell ref="BG611:BH611"/>
    <mergeCell ref="BG613:BH613"/>
    <mergeCell ref="BI613:BJ613"/>
    <mergeCell ref="BN616:BR616"/>
    <mergeCell ref="BX612:CB612"/>
    <mergeCell ref="BN612:BR612"/>
    <mergeCell ref="BS611:BW611"/>
    <mergeCell ref="BI621:BJ621"/>
    <mergeCell ref="BK621:BL621"/>
    <mergeCell ref="BN626:BR626"/>
    <mergeCell ref="BS623:BW623"/>
    <mergeCell ref="BX623:CB623"/>
    <mergeCell ref="BI622:BJ622"/>
    <mergeCell ref="BK623:BL623"/>
    <mergeCell ref="CC626:CG626"/>
    <mergeCell ref="BN625:BR625"/>
    <mergeCell ref="BI610:BJ610"/>
    <mergeCell ref="BK609:BL609"/>
    <mergeCell ref="BX609:CB609"/>
    <mergeCell ref="BK618:BL618"/>
    <mergeCell ref="BK614:BL614"/>
    <mergeCell ref="BK613:BL613"/>
    <mergeCell ref="BK622:BL622"/>
    <mergeCell ref="BS621:BW621"/>
    <mergeCell ref="BN621:BR621"/>
    <mergeCell ref="BX620:CB620"/>
    <mergeCell ref="BS622:BW622"/>
    <mergeCell ref="BX622:CB622"/>
    <mergeCell ref="CC622:CG622"/>
    <mergeCell ref="BX621:CB621"/>
    <mergeCell ref="CC621:CG621"/>
    <mergeCell ref="BK624:BL624"/>
    <mergeCell ref="BN623:BR623"/>
    <mergeCell ref="CC612:CG612"/>
    <mergeCell ref="BX618:CB618"/>
    <mergeCell ref="CC614:CG614"/>
    <mergeCell ref="BN619:BR619"/>
    <mergeCell ref="BS615:BW615"/>
    <mergeCell ref="BX615:CB615"/>
    <mergeCell ref="CC609:CG609"/>
    <mergeCell ref="CH609:CL609"/>
    <mergeCell ref="CC610:CG610"/>
    <mergeCell ref="CH610:CL610"/>
    <mergeCell ref="CH611:CL611"/>
    <mergeCell ref="CC618:CG618"/>
    <mergeCell ref="CC619:CG619"/>
    <mergeCell ref="CH612:CL612"/>
    <mergeCell ref="CH613:CL613"/>
    <mergeCell ref="CC623:CG623"/>
    <mergeCell ref="CH615:CL615"/>
    <mergeCell ref="CH622:CL622"/>
    <mergeCell ref="CM621:CQ621"/>
    <mergeCell ref="CM622:CQ622"/>
    <mergeCell ref="CM623:CQ623"/>
    <mergeCell ref="CM609:CQ609"/>
    <mergeCell ref="CH625:CL625"/>
    <mergeCell ref="CH618:CL618"/>
    <mergeCell ref="CH614:CL614"/>
    <mergeCell ref="CH617:CL617"/>
    <mergeCell ref="CM610:CQ610"/>
    <mergeCell ref="CM611:CQ611"/>
    <mergeCell ref="CM612:CQ612"/>
    <mergeCell ref="BX625:CB625"/>
    <mergeCell ref="CC625:CG625"/>
    <mergeCell ref="CM624:CQ624"/>
    <mergeCell ref="CM617:CQ617"/>
    <mergeCell ref="CM618:CQ618"/>
    <mergeCell ref="CM619:CQ619"/>
    <mergeCell ref="CM620:CQ620"/>
    <mergeCell ref="CM613:CQ613"/>
    <mergeCell ref="CM614:CQ614"/>
    <mergeCell ref="CM615:CQ615"/>
    <mergeCell ref="CM616:CQ616"/>
    <mergeCell ref="CC613:CG613"/>
    <mergeCell ref="CC616:CG616"/>
    <mergeCell ref="CH616:CL616"/>
    <mergeCell ref="CH619:CL619"/>
    <mergeCell ref="CH621:CL621"/>
    <mergeCell ref="CC615:CG615"/>
    <mergeCell ref="CC624:CG624"/>
    <mergeCell ref="BX613:CB613"/>
    <mergeCell ref="BS648:BW648"/>
    <mergeCell ref="CM643:CQ643"/>
    <mergeCell ref="CM641:CQ641"/>
    <mergeCell ref="CM642:CQ642"/>
    <mergeCell ref="CM648:CQ648"/>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41:CG641"/>
    <mergeCell ref="BS634:BW634"/>
    <mergeCell ref="CC633:CG633"/>
    <mergeCell ref="CC629:CG629"/>
    <mergeCell ref="BX631:CB631"/>
    <mergeCell ref="CC631:CG631"/>
    <mergeCell ref="CH626:CL626"/>
    <mergeCell ref="CH627:CL627"/>
    <mergeCell ref="CC640:CG640"/>
    <mergeCell ref="CH653:CL653"/>
    <mergeCell ref="BX663:CB663"/>
    <mergeCell ref="CC649:CG649"/>
    <mergeCell ref="CC648:CG648"/>
    <mergeCell ref="CC642:CG642"/>
    <mergeCell ref="CH651:CL651"/>
    <mergeCell ref="CC651:CG651"/>
    <mergeCell ref="CH648:CL648"/>
    <mergeCell ref="CH641:CL641"/>
    <mergeCell ref="CH643:CL643"/>
    <mergeCell ref="CH628:CL628"/>
    <mergeCell ref="BX650:CB650"/>
    <mergeCell ref="BX654:CB654"/>
    <mergeCell ref="CH663:CL663"/>
    <mergeCell ref="CC650:CG650"/>
    <mergeCell ref="BX649:CB649"/>
    <mergeCell ref="BX628:CB628"/>
    <mergeCell ref="CC628:CG628"/>
    <mergeCell ref="CC627:CG627"/>
    <mergeCell ref="BX626:CB626"/>
    <mergeCell ref="CH631:CL631"/>
    <mergeCell ref="BX652:CB652"/>
    <mergeCell ref="CC655:CG655"/>
    <mergeCell ref="CC656:CG656"/>
    <mergeCell ref="CC657:CG657"/>
    <mergeCell ref="CH655:CL655"/>
    <mergeCell ref="CH656:CL656"/>
    <mergeCell ref="CH657:CL657"/>
    <mergeCell ref="BN650:BR650"/>
    <mergeCell ref="BG628:BH628"/>
    <mergeCell ref="BG629:BH629"/>
    <mergeCell ref="BE629:BF629"/>
    <mergeCell ref="BE631:BF631"/>
    <mergeCell ref="BE632:BF632"/>
    <mergeCell ref="BI629:BJ629"/>
    <mergeCell ref="BK629:BL629"/>
    <mergeCell ref="CH640:CL640"/>
    <mergeCell ref="CM632:CQ632"/>
    <mergeCell ref="CC632:CG632"/>
    <mergeCell ref="CH632:CL632"/>
    <mergeCell ref="BX632:CB632"/>
    <mergeCell ref="BX634:CB634"/>
    <mergeCell ref="CC634:CG634"/>
    <mergeCell ref="BX633:CB633"/>
    <mergeCell ref="BE625:BF625"/>
    <mergeCell ref="BN643:BR643"/>
    <mergeCell ref="BN644:BR644"/>
    <mergeCell ref="BS644:BW644"/>
    <mergeCell ref="BX644:CB644"/>
    <mergeCell ref="CC644:CG644"/>
    <mergeCell ref="CH644:CL644"/>
    <mergeCell ref="CM644:CQ644"/>
    <mergeCell ref="CH642:CL642"/>
    <mergeCell ref="CH650:CL650"/>
    <mergeCell ref="BN628:BR628"/>
    <mergeCell ref="BI628:BJ628"/>
    <mergeCell ref="BK628:BL628"/>
    <mergeCell ref="BS633:BW633"/>
    <mergeCell ref="CM636:CQ636"/>
    <mergeCell ref="BG633:BH633"/>
    <mergeCell ref="AM573:AS573"/>
    <mergeCell ref="AE573:AH573"/>
    <mergeCell ref="Z581:AK581"/>
    <mergeCell ref="AH538:AK538"/>
    <mergeCell ref="AC518:AF518"/>
    <mergeCell ref="W564:Y564"/>
    <mergeCell ref="AI571:AL571"/>
    <mergeCell ref="AE567:AH567"/>
    <mergeCell ref="Z580:AK580"/>
    <mergeCell ref="AM570:AS570"/>
    <mergeCell ref="AH550:AK550"/>
    <mergeCell ref="AH552:AK552"/>
    <mergeCell ref="AC552:AF552"/>
    <mergeCell ref="AC551:AF551"/>
    <mergeCell ref="AH549:AK549"/>
    <mergeCell ref="AC540:AF540"/>
    <mergeCell ref="AM563:AS563"/>
    <mergeCell ref="AH530:AK530"/>
    <mergeCell ref="AM566:AS566"/>
    <mergeCell ref="B576:AL576"/>
    <mergeCell ref="AM564:AS564"/>
    <mergeCell ref="AM572:AS572"/>
    <mergeCell ref="T573:V573"/>
    <mergeCell ref="AI573:AL573"/>
    <mergeCell ref="AE574:AH574"/>
    <mergeCell ref="AM568:AS568"/>
    <mergeCell ref="AM569:AS569"/>
    <mergeCell ref="Z567:AD567"/>
    <mergeCell ref="AC525:AF525"/>
    <mergeCell ref="AH541:AK541"/>
    <mergeCell ref="O544:AA544"/>
    <mergeCell ref="AC549:AF549"/>
    <mergeCell ref="AH545:AK545"/>
    <mergeCell ref="AE569:AH569"/>
    <mergeCell ref="AI569:AL569"/>
    <mergeCell ref="AE570:AH570"/>
    <mergeCell ref="AC544:AF544"/>
    <mergeCell ref="AC545:AF545"/>
    <mergeCell ref="Z563:AD563"/>
    <mergeCell ref="AE564:AH564"/>
    <mergeCell ref="G589:R589"/>
    <mergeCell ref="AC554:AF554"/>
    <mergeCell ref="T569:V569"/>
    <mergeCell ref="T570:V570"/>
    <mergeCell ref="Q563:S563"/>
    <mergeCell ref="W567:Y567"/>
    <mergeCell ref="T567:V567"/>
    <mergeCell ref="B532:H554"/>
    <mergeCell ref="T572:V572"/>
    <mergeCell ref="AI566:AL566"/>
    <mergeCell ref="W568:Y568"/>
    <mergeCell ref="Q567:S567"/>
    <mergeCell ref="B563:P563"/>
    <mergeCell ref="C565:P565"/>
    <mergeCell ref="C564:P564"/>
    <mergeCell ref="AC553:AF553"/>
    <mergeCell ref="AC538:AF538"/>
    <mergeCell ref="AH536:AK536"/>
    <mergeCell ref="AH553:AK553"/>
    <mergeCell ref="AC535:AF535"/>
    <mergeCell ref="O541:AA541"/>
    <mergeCell ref="AH540:AK540"/>
    <mergeCell ref="AH539:AK539"/>
    <mergeCell ref="Z579:AK579"/>
    <mergeCell ref="AM567:AS567"/>
    <mergeCell ref="AI567:AL567"/>
    <mergeCell ref="Q575:S575"/>
    <mergeCell ref="BN622:BR622"/>
    <mergeCell ref="BE619:BF619"/>
    <mergeCell ref="P599:R599"/>
    <mergeCell ref="BG626:BH626"/>
    <mergeCell ref="BG620:BH620"/>
    <mergeCell ref="AA624:AK624"/>
    <mergeCell ref="BE613:BF613"/>
    <mergeCell ref="BE612:BF612"/>
    <mergeCell ref="BE614:BF614"/>
    <mergeCell ref="G611:R611"/>
    <mergeCell ref="Z612:AK612"/>
    <mergeCell ref="BN640:BR640"/>
    <mergeCell ref="BE634:BF634"/>
    <mergeCell ref="BS629:BW629"/>
    <mergeCell ref="BK633:BL633"/>
    <mergeCell ref="BE630:BF630"/>
    <mergeCell ref="BE626:BF626"/>
    <mergeCell ref="BE624:BF624"/>
    <mergeCell ref="BE623:BF623"/>
    <mergeCell ref="BE622:BF622"/>
    <mergeCell ref="BE621:BF621"/>
    <mergeCell ref="BN624:BR624"/>
    <mergeCell ref="BS624:BW624"/>
    <mergeCell ref="BN618:BR618"/>
    <mergeCell ref="BS618:BW618"/>
    <mergeCell ref="BN611:BR611"/>
    <mergeCell ref="BI615:BJ615"/>
    <mergeCell ref="BK612:BL612"/>
    <mergeCell ref="BI633:BJ633"/>
    <mergeCell ref="BS628:BW628"/>
    <mergeCell ref="BI632:BJ632"/>
    <mergeCell ref="BS625:BW625"/>
    <mergeCell ref="N609:O609"/>
    <mergeCell ref="G620:R620"/>
    <mergeCell ref="H624:R624"/>
    <mergeCell ref="Z614:AK614"/>
    <mergeCell ref="Z597:AK597"/>
    <mergeCell ref="AI582:AK582"/>
    <mergeCell ref="P582:R582"/>
    <mergeCell ref="C572:P572"/>
    <mergeCell ref="AI565:AL565"/>
    <mergeCell ref="AE566:AH566"/>
    <mergeCell ref="C569:P569"/>
    <mergeCell ref="AE568:AH568"/>
    <mergeCell ref="AI568:AL568"/>
    <mergeCell ref="AC533:AF533"/>
    <mergeCell ref="AC539:AF539"/>
    <mergeCell ref="AE565:AH565"/>
    <mergeCell ref="AH544:AK544"/>
    <mergeCell ref="C566:P566"/>
    <mergeCell ref="C567:P567"/>
    <mergeCell ref="C568:P568"/>
    <mergeCell ref="C574:P574"/>
    <mergeCell ref="C575:P575"/>
    <mergeCell ref="T574:V574"/>
    <mergeCell ref="N585:O585"/>
    <mergeCell ref="G591:L591"/>
    <mergeCell ref="G588:R588"/>
    <mergeCell ref="AG593:AH593"/>
    <mergeCell ref="AI591:AK591"/>
    <mergeCell ref="G587:R587"/>
    <mergeCell ref="AM576:AS576"/>
    <mergeCell ref="AM571:AS571"/>
    <mergeCell ref="AA592:AK592"/>
    <mergeCell ref="AI599:AK599"/>
    <mergeCell ref="Z582:AE582"/>
    <mergeCell ref="AM575:AS575"/>
    <mergeCell ref="BN633:BR633"/>
    <mergeCell ref="BE633:BF633"/>
    <mergeCell ref="BI625:BJ625"/>
    <mergeCell ref="BK625:BL625"/>
    <mergeCell ref="BG625:BH625"/>
    <mergeCell ref="BK611:BL611"/>
    <mergeCell ref="BG614:BH614"/>
    <mergeCell ref="BI614:BJ614"/>
    <mergeCell ref="BI612:BJ612"/>
    <mergeCell ref="BG616:BH616"/>
    <mergeCell ref="BI616:BJ616"/>
    <mergeCell ref="BG618:BH618"/>
    <mergeCell ref="BN613:BR613"/>
    <mergeCell ref="Z623:AE623"/>
    <mergeCell ref="Z611:AK611"/>
    <mergeCell ref="BG627:BH627"/>
    <mergeCell ref="BN627:BR627"/>
    <mergeCell ref="BI623:BJ623"/>
    <mergeCell ref="BI627:BJ627"/>
    <mergeCell ref="BK627:BL627"/>
    <mergeCell ref="BI626:BJ626"/>
    <mergeCell ref="BK626:BL626"/>
    <mergeCell ref="BI620:BJ620"/>
    <mergeCell ref="BK620:BL620"/>
    <mergeCell ref="BN620:BR620"/>
    <mergeCell ref="BE611:BF611"/>
    <mergeCell ref="AD1037:AK1037"/>
    <mergeCell ref="AD1035:AK1035"/>
    <mergeCell ref="B1037:Y1037"/>
    <mergeCell ref="D469:V469"/>
    <mergeCell ref="AC889:AH889"/>
    <mergeCell ref="C891:AB891"/>
    <mergeCell ref="C892:AB892"/>
    <mergeCell ref="T774:W774"/>
    <mergeCell ref="T775:W775"/>
    <mergeCell ref="X782:AB785"/>
    <mergeCell ref="X786:AB786"/>
    <mergeCell ref="Q568:S568"/>
    <mergeCell ref="Z574:AD574"/>
    <mergeCell ref="Z575:AD575"/>
    <mergeCell ref="Q564:S564"/>
    <mergeCell ref="Q565:S565"/>
    <mergeCell ref="AE571:AH571"/>
    <mergeCell ref="Z578:AK578"/>
    <mergeCell ref="Z603:AK603"/>
    <mergeCell ref="AA616:AK616"/>
    <mergeCell ref="T563:V563"/>
    <mergeCell ref="T564:V564"/>
    <mergeCell ref="AI564:AL564"/>
    <mergeCell ref="AH528:AK528"/>
    <mergeCell ref="Z604:AK604"/>
    <mergeCell ref="T494:X494"/>
    <mergeCell ref="Y495:AC495"/>
    <mergeCell ref="O535:AA535"/>
    <mergeCell ref="G580:R580"/>
    <mergeCell ref="G598:R598"/>
    <mergeCell ref="W866:AC866"/>
    <mergeCell ref="T571:V571"/>
    <mergeCell ref="AA682:AK682"/>
    <mergeCell ref="H616:R616"/>
    <mergeCell ref="P615:R615"/>
    <mergeCell ref="AI570:AL570"/>
    <mergeCell ref="H592:R592"/>
    <mergeCell ref="AA600:AK600"/>
    <mergeCell ref="AC528:AF528"/>
    <mergeCell ref="AI574:AL574"/>
    <mergeCell ref="Z607:AE607"/>
    <mergeCell ref="AE572:AH572"/>
    <mergeCell ref="AI572:AL572"/>
    <mergeCell ref="Z568:AD568"/>
    <mergeCell ref="Z569:AD569"/>
    <mergeCell ref="AI575:AL575"/>
    <mergeCell ref="T565:V565"/>
    <mergeCell ref="G581:R581"/>
    <mergeCell ref="G595:R595"/>
    <mergeCell ref="AG585:AH585"/>
    <mergeCell ref="AE575:AH575"/>
    <mergeCell ref="AA583:AK583"/>
    <mergeCell ref="Q569:S569"/>
    <mergeCell ref="G578:R578"/>
    <mergeCell ref="M584:R584"/>
    <mergeCell ref="T575:V575"/>
    <mergeCell ref="G590:L590"/>
    <mergeCell ref="Z565:AD565"/>
    <mergeCell ref="O532:AA532"/>
    <mergeCell ref="Z587:AK587"/>
    <mergeCell ref="C570:P570"/>
    <mergeCell ref="Z564:AD564"/>
    <mergeCell ref="H583:R583"/>
    <mergeCell ref="AH542:AK54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E419:AJ419"/>
    <mergeCell ref="P424:Q424"/>
    <mergeCell ref="Z431:AA431"/>
    <mergeCell ref="T491:X491"/>
    <mergeCell ref="K403:AJ403"/>
    <mergeCell ref="D405:AJ406"/>
    <mergeCell ref="AH521:AK521"/>
    <mergeCell ref="AC522:AF522"/>
    <mergeCell ref="AH522:AK522"/>
    <mergeCell ref="AC883:AH883"/>
    <mergeCell ref="Z899:AE899"/>
    <mergeCell ref="W857:AC857"/>
    <mergeCell ref="W861:AC861"/>
    <mergeCell ref="S412:T412"/>
    <mergeCell ref="S401:U401"/>
    <mergeCell ref="AG440:AJ440"/>
    <mergeCell ref="W417:Y417"/>
    <mergeCell ref="D447:AF447"/>
    <mergeCell ref="AG444:AJ444"/>
    <mergeCell ref="AG445:AJ445"/>
    <mergeCell ref="G472:V472"/>
    <mergeCell ref="W472:Y472"/>
    <mergeCell ref="D471:V471"/>
    <mergeCell ref="D465:V465"/>
    <mergeCell ref="AC454:AF454"/>
    <mergeCell ref="D464:V464"/>
    <mergeCell ref="W467:Y467"/>
    <mergeCell ref="AC453:AF453"/>
    <mergeCell ref="W464:Y464"/>
    <mergeCell ref="D466:V466"/>
    <mergeCell ref="AC455:AF455"/>
    <mergeCell ref="D441:AF441"/>
    <mergeCell ref="Z433:AA433"/>
    <mergeCell ref="H413:AE414"/>
    <mergeCell ref="D437:AF437"/>
    <mergeCell ref="D438:AF438"/>
    <mergeCell ref="AG439:AJ439"/>
    <mergeCell ref="D442:AF442"/>
    <mergeCell ref="AG443:AJ443"/>
    <mergeCell ref="F426:AH427"/>
    <mergeCell ref="R411:S411"/>
    <mergeCell ref="AG438:AJ438"/>
    <mergeCell ref="AE401:AJ401"/>
    <mergeCell ref="AG437:AJ437"/>
    <mergeCell ref="W469:Y469"/>
    <mergeCell ref="W468:Y468"/>
    <mergeCell ref="D470:V470"/>
    <mergeCell ref="A9:AL9"/>
    <mergeCell ref="M355:N355"/>
    <mergeCell ref="AB214:AL214"/>
    <mergeCell ref="T197:U197"/>
    <mergeCell ref="Y211:Z211"/>
    <mergeCell ref="D213:Z213"/>
    <mergeCell ref="AB215:AL215"/>
    <mergeCell ref="D440:AF440"/>
    <mergeCell ref="AG436:AJ436"/>
    <mergeCell ref="AG449:AJ449"/>
    <mergeCell ref="S400:U400"/>
    <mergeCell ref="AA331:AF331"/>
    <mergeCell ref="AA327:AK327"/>
    <mergeCell ref="O33:P33"/>
    <mergeCell ref="D443:AF443"/>
    <mergeCell ref="D436:AF436"/>
    <mergeCell ref="Q392:U392"/>
    <mergeCell ref="U254:W254"/>
    <mergeCell ref="D207:M207"/>
    <mergeCell ref="S404:AJ404"/>
    <mergeCell ref="AG447:AJ447"/>
    <mergeCell ref="AG448:AJ448"/>
    <mergeCell ref="AE423:AF423"/>
    <mergeCell ref="AD411:AE411"/>
    <mergeCell ref="D439:AF439"/>
    <mergeCell ref="AG446:AJ446"/>
    <mergeCell ref="AF429:AG429"/>
    <mergeCell ref="AC532:AF532"/>
    <mergeCell ref="AD492:AH492"/>
    <mergeCell ref="AC512:AF512"/>
    <mergeCell ref="AC514:AF514"/>
    <mergeCell ref="AH512:AK512"/>
    <mergeCell ref="Q501:R502"/>
    <mergeCell ref="AC531:AF531"/>
    <mergeCell ref="Q500:AK500"/>
    <mergeCell ref="Q505:AK505"/>
    <mergeCell ref="AD494:AH494"/>
    <mergeCell ref="T489:X489"/>
    <mergeCell ref="AC517:AF517"/>
    <mergeCell ref="AC529:AF529"/>
    <mergeCell ref="Q503:AK503"/>
    <mergeCell ref="L520:AB520"/>
    <mergeCell ref="Y491:AC491"/>
    <mergeCell ref="AG442:AJ442"/>
    <mergeCell ref="D449:AF449"/>
    <mergeCell ref="D450:AJ451"/>
    <mergeCell ref="Y484:AC485"/>
    <mergeCell ref="T492:X492"/>
    <mergeCell ref="T495:X495"/>
    <mergeCell ref="AH515:AK515"/>
    <mergeCell ref="AD488:AH488"/>
    <mergeCell ref="AD486:AH486"/>
    <mergeCell ref="AD487:AH487"/>
    <mergeCell ref="AH520:AK520"/>
    <mergeCell ref="Y492:AC492"/>
    <mergeCell ref="B513:H514"/>
    <mergeCell ref="AC520:AF520"/>
    <mergeCell ref="AH516:AK516"/>
    <mergeCell ref="B515:H520"/>
    <mergeCell ref="Q570:S570"/>
    <mergeCell ref="W570:Y570"/>
    <mergeCell ref="AH532:AK532"/>
    <mergeCell ref="AM565:AS565"/>
    <mergeCell ref="Z591:AE591"/>
    <mergeCell ref="G605:R605"/>
    <mergeCell ref="AE563:AH563"/>
    <mergeCell ref="AM574:AS574"/>
    <mergeCell ref="G582:L582"/>
    <mergeCell ref="G597:R597"/>
    <mergeCell ref="T566:V566"/>
    <mergeCell ref="T568:V568"/>
    <mergeCell ref="N601:O601"/>
    <mergeCell ref="AD493:AH493"/>
    <mergeCell ref="Y493:AC493"/>
    <mergeCell ref="AC513:AF513"/>
    <mergeCell ref="T493:X493"/>
    <mergeCell ref="AC550:AF550"/>
    <mergeCell ref="AH537:AK537"/>
    <mergeCell ref="AH526:AK526"/>
    <mergeCell ref="AC527:AF527"/>
    <mergeCell ref="AC526:AF526"/>
    <mergeCell ref="B529:H531"/>
    <mergeCell ref="AC537:AF537"/>
    <mergeCell ref="AH543:AK543"/>
    <mergeCell ref="AH554:AK554"/>
    <mergeCell ref="AC524:AF524"/>
    <mergeCell ref="M507:P507"/>
    <mergeCell ref="AH507:AK507"/>
    <mergeCell ref="AH524:AK524"/>
    <mergeCell ref="AC521:AF521"/>
    <mergeCell ref="AH525:AK525"/>
  </mergeCells>
  <phoneticPr fontId="0" type="noConversion"/>
  <conditionalFormatting sqref="AF1000">
    <cfRule type="cellIs" dxfId="116" priority="4" stopIfTrue="1" operator="equal">
      <formula>"Please Enter Amount:"</formula>
    </cfRule>
  </conditionalFormatting>
  <conditionalFormatting sqref="AJ1024">
    <cfRule type="cellIs" dxfId="115" priority="7" stopIfTrue="1" operator="equal">
      <formula>"#DIV/0!"</formula>
    </cfRule>
  </conditionalFormatting>
  <conditionalFormatting sqref="AG440:AJ440">
    <cfRule type="expression" dxfId="114" priority="8" stopIfTrue="1">
      <formula>"iserror(d31)"</formula>
    </cfRule>
  </conditionalFormatting>
  <conditionalFormatting sqref="AF1012">
    <cfRule type="cellIs" dxfId="113" priority="2" stopIfTrue="1" operator="equal">
      <formula>"Please Enter Amount:"</formula>
    </cfRule>
  </conditionalFormatting>
  <conditionalFormatting sqref="AF1005">
    <cfRule type="cellIs" dxfId="11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30" zoomScaleNormal="100" zoomScaleSheetLayoutView="100" workbookViewId="0">
      <selection activeCell="B1222" sqref="B1222"/>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2525" t="s">
        <v>2255</v>
      </c>
      <c r="B2" s="2525"/>
      <c r="C2" s="2526"/>
      <c r="D2" s="2526"/>
      <c r="E2" s="2526"/>
      <c r="F2" s="2526"/>
      <c r="G2" s="2526"/>
    </row>
    <row r="3" spans="1:9">
      <c r="A3" s="2532" t="s">
        <v>2256</v>
      </c>
      <c r="B3" s="2532"/>
      <c r="C3" s="2526"/>
      <c r="D3" s="2526"/>
      <c r="E3" s="2526"/>
      <c r="F3" s="2526"/>
      <c r="G3" s="2526"/>
      <c r="I3" s="694"/>
    </row>
    <row r="4" spans="1:9">
      <c r="A4" s="2529"/>
      <c r="B4" s="2529"/>
      <c r="C4" s="2533"/>
      <c r="D4" s="2533"/>
      <c r="E4" s="2533"/>
      <c r="F4" s="2533"/>
      <c r="G4" s="2533"/>
      <c r="I4" s="694"/>
    </row>
    <row r="5" spans="1:9" s="792" customFormat="1">
      <c r="A5" s="2529"/>
      <c r="B5" s="2529"/>
      <c r="C5" s="2530"/>
      <c r="D5" s="2530"/>
      <c r="E5" s="2530"/>
      <c r="F5" s="2530"/>
      <c r="G5" s="2530"/>
    </row>
    <row r="6" spans="1:9" s="792" customFormat="1">
      <c r="A6" s="2527" t="s">
        <v>1258</v>
      </c>
      <c r="B6" s="2527"/>
      <c r="C6" s="2528"/>
      <c r="D6" s="2528"/>
      <c r="E6" s="2528"/>
      <c r="F6" s="2528"/>
      <c r="G6" s="2528"/>
    </row>
    <row r="7" spans="1:9" s="792" customFormat="1">
      <c r="A7" s="2527" t="s">
        <v>1259</v>
      </c>
      <c r="B7" s="2527"/>
      <c r="C7" s="2528"/>
      <c r="D7" s="2528"/>
      <c r="E7" s="2528"/>
      <c r="F7" s="2528"/>
      <c r="G7" s="2528"/>
    </row>
    <row r="8" spans="1:9">
      <c r="A8" s="793"/>
      <c r="B8" s="793"/>
      <c r="C8" s="794"/>
      <c r="D8" s="794"/>
      <c r="E8" s="794"/>
      <c r="F8" s="794"/>
    </row>
    <row r="9" spans="1:9">
      <c r="A9" s="1904" t="s">
        <v>1261</v>
      </c>
      <c r="B9" s="1904"/>
      <c r="C9" s="1904"/>
      <c r="D9" s="1904"/>
      <c r="E9" s="1904"/>
      <c r="F9" s="1904"/>
      <c r="G9" s="1904"/>
    </row>
    <row r="10" spans="1:9">
      <c r="A10" s="794"/>
      <c r="B10" s="794"/>
      <c r="E10" s="795"/>
    </row>
    <row r="11" spans="1:9" ht="13.65" customHeight="1">
      <c r="C11" s="794"/>
      <c r="D11" s="2510" t="s">
        <v>1260</v>
      </c>
      <c r="E11" s="2510"/>
      <c r="F11" s="2510"/>
    </row>
    <row r="12" spans="1:9">
      <c r="C12" s="794"/>
      <c r="D12" s="2510"/>
      <c r="E12" s="2510"/>
      <c r="F12" s="2510"/>
    </row>
    <row r="13" spans="1:9">
      <c r="A13" s="796"/>
      <c r="B13" s="796"/>
      <c r="C13" s="796"/>
      <c r="D13" s="1914" t="s">
        <v>1243</v>
      </c>
      <c r="E13" s="1914"/>
      <c r="F13" s="1914"/>
    </row>
    <row r="14" spans="1:9">
      <c r="A14" s="796"/>
      <c r="B14" s="796"/>
      <c r="C14" s="796"/>
      <c r="D14" s="797"/>
    </row>
    <row r="15" spans="1:9" ht="14.4">
      <c r="A15" s="798"/>
      <c r="B15" s="799" t="s">
        <v>2577</v>
      </c>
      <c r="C15" s="800"/>
      <c r="D15" s="1909" t="s">
        <v>1244</v>
      </c>
      <c r="E15" s="1909"/>
      <c r="F15" s="1909"/>
    </row>
    <row r="16" spans="1:9">
      <c r="A16" s="796"/>
      <c r="B16" s="796"/>
      <c r="C16" s="800"/>
      <c r="D16" s="1909"/>
      <c r="E16" s="1909"/>
      <c r="F16" s="1909"/>
    </row>
    <row r="17" spans="1:7">
      <c r="A17" s="796"/>
      <c r="B17" s="796"/>
      <c r="C17" s="800"/>
      <c r="D17" s="1909"/>
      <c r="E17" s="1909"/>
      <c r="F17" s="1909"/>
    </row>
    <row r="18" spans="1:7">
      <c r="A18" s="796"/>
      <c r="B18" s="796"/>
      <c r="C18" s="796"/>
    </row>
    <row r="19" spans="1:7" ht="14.4">
      <c r="A19" s="798"/>
      <c r="B19" s="799" t="s">
        <v>2576</v>
      </c>
      <c r="D19" s="1888" t="s">
        <v>1245</v>
      </c>
      <c r="E19" s="1888"/>
      <c r="F19" s="1888"/>
    </row>
    <row r="20" spans="1:7" ht="14.4">
      <c r="A20" s="798"/>
      <c r="B20" s="798"/>
      <c r="D20" s="801"/>
    </row>
    <row r="21" spans="1:7" ht="14.4">
      <c r="A21" s="798"/>
      <c r="B21" s="799" t="s">
        <v>2577</v>
      </c>
      <c r="D21" s="1909" t="s">
        <v>1246</v>
      </c>
      <c r="E21" s="1909"/>
      <c r="F21" s="1909"/>
    </row>
    <row r="22" spans="1:7" ht="14.4">
      <c r="A22" s="798"/>
      <c r="B22" s="798"/>
      <c r="D22" s="1909"/>
      <c r="E22" s="1909"/>
      <c r="F22" s="1909"/>
    </row>
    <row r="23" spans="1:7"/>
    <row r="24" spans="1:7" ht="14.4">
      <c r="A24" s="798"/>
      <c r="B24" s="799" t="s">
        <v>2576</v>
      </c>
      <c r="D24" s="2511" t="s">
        <v>1247</v>
      </c>
      <c r="E24" s="2511"/>
      <c r="F24" s="2511"/>
    </row>
    <row r="25" spans="1:7">
      <c r="D25" s="2511"/>
      <c r="E25" s="2511"/>
      <c r="F25" s="2511"/>
    </row>
    <row r="26" spans="1:7">
      <c r="D26" s="2511"/>
      <c r="E26" s="2511"/>
      <c r="F26" s="2511"/>
    </row>
    <row r="27" spans="1:7">
      <c r="D27" s="2511"/>
      <c r="E27" s="2511"/>
      <c r="F27" s="2511"/>
    </row>
    <row r="28" spans="1:7">
      <c r="D28" s="2511"/>
      <c r="E28" s="2511"/>
      <c r="F28" s="2511"/>
    </row>
    <row r="29" spans="1:7" s="792" customFormat="1">
      <c r="A29" s="802"/>
      <c r="B29" s="802"/>
      <c r="C29" s="802"/>
      <c r="D29" s="734"/>
      <c r="E29" s="803"/>
      <c r="F29" s="803"/>
      <c r="G29" s="803"/>
    </row>
    <row r="30" spans="1:7" s="792" customFormat="1">
      <c r="A30" s="802"/>
      <c r="B30" s="799" t="s">
        <v>2577</v>
      </c>
      <c r="C30" s="802"/>
      <c r="D30" s="1866" t="s">
        <v>1248</v>
      </c>
      <c r="E30" s="1866"/>
      <c r="F30" s="1866"/>
      <c r="G30" s="803"/>
    </row>
    <row r="31" spans="1:7" s="792" customFormat="1">
      <c r="A31" s="802"/>
      <c r="B31" s="802"/>
      <c r="C31" s="802"/>
      <c r="D31" s="1866"/>
      <c r="E31" s="1866"/>
      <c r="F31" s="1866"/>
      <c r="G31" s="803"/>
    </row>
    <row r="32" spans="1:7" ht="14.4">
      <c r="A32" s="798"/>
      <c r="B32" s="798"/>
      <c r="D32" s="804"/>
    </row>
    <row r="33" spans="1:6" ht="14.4" customHeight="1">
      <c r="A33" s="798"/>
      <c r="B33" s="799" t="s">
        <v>2577</v>
      </c>
      <c r="D33" s="1866" t="s">
        <v>1431</v>
      </c>
      <c r="E33" s="1866"/>
      <c r="F33" s="1866"/>
    </row>
    <row r="34" spans="1:6" ht="14.4">
      <c r="A34" s="798"/>
      <c r="B34" s="798"/>
      <c r="D34" s="1866"/>
      <c r="E34" s="1866"/>
      <c r="F34" s="1866"/>
    </row>
    <row r="35" spans="1:6" ht="14.4">
      <c r="A35" s="798"/>
      <c r="B35" s="798"/>
      <c r="D35" s="1866"/>
      <c r="E35" s="1866"/>
      <c r="F35" s="1866"/>
    </row>
    <row r="36" spans="1:6" ht="14.4">
      <c r="A36" s="798"/>
      <c r="B36" s="798"/>
      <c r="D36" s="1866"/>
      <c r="E36" s="1866"/>
      <c r="F36" s="1866"/>
    </row>
    <row r="37" spans="1:6" ht="14.4">
      <c r="A37" s="798"/>
      <c r="B37" s="798"/>
      <c r="D37" s="791"/>
    </row>
    <row r="38" spans="1:6" ht="14.4">
      <c r="A38" s="798"/>
      <c r="B38" s="799" t="s">
        <v>2577</v>
      </c>
      <c r="D38" s="1866" t="s">
        <v>1250</v>
      </c>
      <c r="E38" s="1866"/>
      <c r="F38" s="1866"/>
    </row>
    <row r="39" spans="1:6" ht="14.4">
      <c r="A39" s="798"/>
      <c r="B39" s="798"/>
      <c r="D39" s="1866"/>
      <c r="E39" s="1866"/>
      <c r="F39" s="1866"/>
    </row>
    <row r="40" spans="1:6" ht="14.4">
      <c r="A40" s="798"/>
      <c r="B40" s="798"/>
      <c r="D40" s="1866"/>
      <c r="E40" s="1866"/>
      <c r="F40" s="1866"/>
    </row>
    <row r="41" spans="1:6" ht="14.4">
      <c r="A41" s="798"/>
      <c r="B41" s="798"/>
      <c r="D41" s="1866"/>
      <c r="E41" s="1866"/>
      <c r="F41" s="1866"/>
    </row>
    <row r="42" spans="1:6" ht="14.4">
      <c r="A42" s="798"/>
      <c r="B42" s="798"/>
      <c r="D42" s="1866"/>
      <c r="E42" s="1866"/>
      <c r="F42" s="1866"/>
    </row>
    <row r="43" spans="1:6" ht="14.4">
      <c r="A43" s="798"/>
      <c r="B43" s="798"/>
      <c r="D43" s="782"/>
      <c r="E43" s="782"/>
      <c r="F43" s="782"/>
    </row>
    <row r="44" spans="1:6" ht="14.4">
      <c r="A44" s="798"/>
      <c r="B44" s="799" t="s">
        <v>2577</v>
      </c>
      <c r="D44" s="1866" t="s">
        <v>1251</v>
      </c>
      <c r="E44" s="1866"/>
      <c r="F44" s="1866"/>
    </row>
    <row r="45" spans="1:6" ht="14.4">
      <c r="A45" s="798"/>
      <c r="B45" s="798"/>
      <c r="D45" s="1866"/>
      <c r="E45" s="1866"/>
      <c r="F45" s="1866"/>
    </row>
    <row r="46" spans="1:6" ht="14.4">
      <c r="A46" s="798"/>
      <c r="B46" s="798"/>
      <c r="D46" s="1866"/>
      <c r="E46" s="1866"/>
      <c r="F46" s="1866"/>
    </row>
    <row r="47" spans="1:6" ht="23.25" customHeight="1">
      <c r="A47" s="798"/>
      <c r="B47" s="798"/>
      <c r="D47" s="1866"/>
      <c r="E47" s="1866"/>
      <c r="F47" s="1866"/>
    </row>
    <row r="48" spans="1:6" ht="14.4">
      <c r="A48" s="798"/>
      <c r="B48" s="798"/>
      <c r="D48" s="786"/>
    </row>
    <row r="49" spans="1:7" ht="14.4" customHeight="1">
      <c r="A49" s="798"/>
      <c r="B49" s="799" t="s">
        <v>2577</v>
      </c>
      <c r="D49" s="1866" t="s">
        <v>1252</v>
      </c>
      <c r="E49" s="1866"/>
      <c r="F49" s="1866"/>
    </row>
    <row r="50" spans="1:7" ht="14.4">
      <c r="A50" s="798"/>
      <c r="B50" s="798"/>
      <c r="D50" s="1866"/>
      <c r="E50" s="1866"/>
      <c r="F50" s="1866"/>
    </row>
    <row r="51" spans="1:7" ht="14.4">
      <c r="A51" s="798"/>
      <c r="B51" s="798"/>
      <c r="D51" s="1866"/>
      <c r="E51" s="1866"/>
      <c r="F51" s="1866"/>
    </row>
    <row r="52" spans="1:7" s="619" customFormat="1" ht="14.4">
      <c r="A52" s="798"/>
      <c r="B52" s="798"/>
      <c r="C52" s="805"/>
      <c r="D52" s="803"/>
      <c r="E52" s="694"/>
      <c r="F52" s="694"/>
      <c r="G52" s="694"/>
    </row>
    <row r="53" spans="1:7" s="619" customFormat="1" ht="14.4">
      <c r="A53" s="806"/>
      <c r="B53" s="799" t="s">
        <v>2576</v>
      </c>
      <c r="C53" s="807"/>
      <c r="D53" s="1866" t="s">
        <v>1253</v>
      </c>
      <c r="E53" s="1866"/>
      <c r="F53" s="1866"/>
      <c r="G53" s="694"/>
    </row>
    <row r="54" spans="1:7" s="619" customFormat="1" ht="14.4">
      <c r="A54" s="806"/>
      <c r="B54" s="806"/>
      <c r="C54" s="807"/>
      <c r="D54" s="1866"/>
      <c r="E54" s="1866"/>
      <c r="F54" s="1866"/>
      <c r="G54" s="694"/>
    </row>
    <row r="55" spans="1:7" s="792" customFormat="1">
      <c r="A55" s="802"/>
      <c r="B55" s="802"/>
      <c r="C55" s="802"/>
      <c r="D55" s="734"/>
      <c r="E55" s="803"/>
      <c r="F55" s="803"/>
      <c r="G55" s="803"/>
    </row>
    <row r="56" spans="1:7" ht="14.4">
      <c r="A56" s="798"/>
      <c r="B56" s="799" t="s">
        <v>2577</v>
      </c>
      <c r="D56" s="1866" t="s">
        <v>1254</v>
      </c>
      <c r="E56" s="1866"/>
      <c r="F56" s="1866"/>
    </row>
    <row r="57" spans="1:7">
      <c r="D57" s="1866"/>
      <c r="E57" s="1866"/>
      <c r="F57" s="1866"/>
    </row>
    <row r="58" spans="1:7">
      <c r="D58" s="1866"/>
      <c r="E58" s="1866"/>
      <c r="F58" s="1866"/>
    </row>
    <row r="59" spans="1:7">
      <c r="D59" s="694"/>
    </row>
    <row r="60" spans="1:7" ht="14.4">
      <c r="A60" s="798"/>
      <c r="B60" s="799" t="s">
        <v>2577</v>
      </c>
      <c r="D60" s="1866" t="s">
        <v>1255</v>
      </c>
      <c r="E60" s="1866"/>
      <c r="F60" s="1866"/>
    </row>
    <row r="61" spans="1:7">
      <c r="D61" s="1866"/>
      <c r="E61" s="1866"/>
      <c r="F61" s="1866"/>
    </row>
    <row r="62" spans="1:7"/>
    <row r="63" spans="1:7" ht="14.4">
      <c r="A63" s="798"/>
      <c r="B63" s="799" t="s">
        <v>2576</v>
      </c>
      <c r="D63" s="1866" t="s">
        <v>1256</v>
      </c>
      <c r="E63" s="1866"/>
      <c r="F63" s="1866"/>
    </row>
    <row r="64" spans="1:7">
      <c r="D64" s="1866"/>
      <c r="E64" s="1866"/>
      <c r="F64" s="1866"/>
    </row>
    <row r="65" spans="1:7">
      <c r="D65" s="1866"/>
      <c r="E65" s="1866"/>
      <c r="F65" s="1866"/>
    </row>
    <row r="66" spans="1:7">
      <c r="D66" s="791"/>
    </row>
    <row r="67" spans="1:7" ht="14.4">
      <c r="A67" s="798"/>
      <c r="B67" s="799" t="s">
        <v>2576</v>
      </c>
      <c r="D67" s="1909" t="s">
        <v>1257</v>
      </c>
      <c r="E67" s="1909"/>
      <c r="F67" s="1909"/>
    </row>
    <row r="68" spans="1:7">
      <c r="D68" s="1909"/>
      <c r="E68" s="1909"/>
      <c r="F68" s="1909"/>
    </row>
    <row r="69" spans="1:7" ht="14.4">
      <c r="A69" s="798"/>
      <c r="B69" s="798"/>
      <c r="D69" s="801"/>
    </row>
    <row r="70" spans="1:7">
      <c r="A70" s="1874" t="s">
        <v>1164</v>
      </c>
      <c r="B70" s="1874"/>
      <c r="C70" s="1874"/>
      <c r="D70" s="1874"/>
      <c r="E70" s="1874"/>
      <c r="F70" s="1874"/>
      <c r="G70" s="1874"/>
    </row>
    <row r="71" spans="1:7"/>
    <row r="72" spans="1:7">
      <c r="C72" s="808"/>
      <c r="D72" s="2506" t="s">
        <v>1262</v>
      </c>
      <c r="E72" s="2506"/>
      <c r="F72" s="2506"/>
    </row>
    <row r="73" spans="1:7">
      <c r="A73" s="801"/>
      <c r="B73" s="801"/>
      <c r="D73" s="1909" t="s">
        <v>1289</v>
      </c>
      <c r="E73" s="1909"/>
      <c r="F73" s="1909"/>
    </row>
    <row r="74" spans="1:7">
      <c r="A74" s="801"/>
      <c r="B74" s="801"/>
    </row>
    <row r="75" spans="1:7" ht="13.65" customHeight="1">
      <c r="A75" s="798"/>
      <c r="B75" s="799" t="s">
        <v>2576</v>
      </c>
      <c r="D75" s="1909" t="s">
        <v>1481</v>
      </c>
      <c r="E75" s="1909"/>
      <c r="F75" s="1909"/>
    </row>
    <row r="76" spans="1:7" ht="14.4">
      <c r="A76" s="798"/>
      <c r="B76" s="798"/>
      <c r="D76" s="1909"/>
      <c r="E76" s="1909"/>
      <c r="F76" s="1909"/>
    </row>
    <row r="77" spans="1:7" ht="14.4">
      <c r="A77" s="798"/>
      <c r="B77" s="798"/>
      <c r="D77" s="1909"/>
      <c r="E77" s="1909"/>
      <c r="F77" s="1909"/>
    </row>
    <row r="78" spans="1:7" ht="14.4">
      <c r="A78" s="798"/>
      <c r="B78" s="798"/>
      <c r="D78" s="1909"/>
      <c r="E78" s="1909"/>
      <c r="F78" s="1909"/>
    </row>
    <row r="79" spans="1:7" ht="14.4">
      <c r="A79" s="798"/>
      <c r="B79" s="798"/>
      <c r="D79" s="1909"/>
      <c r="E79" s="1909"/>
      <c r="F79" s="1909"/>
    </row>
    <row r="80" spans="1:7" ht="14.4">
      <c r="A80" s="798"/>
      <c r="B80" s="798"/>
      <c r="D80" s="1909"/>
      <c r="E80" s="1909"/>
      <c r="F80" s="1909"/>
    </row>
    <row r="81" spans="1:6" ht="14.4">
      <c r="A81" s="798"/>
      <c r="B81" s="798"/>
      <c r="D81" s="1909"/>
      <c r="E81" s="1909"/>
      <c r="F81" s="1909"/>
    </row>
    <row r="82" spans="1:6" ht="14.4">
      <c r="A82" s="798"/>
      <c r="B82" s="798"/>
      <c r="D82" s="1909"/>
      <c r="E82" s="1909"/>
      <c r="F82" s="1909"/>
    </row>
    <row r="83" spans="1:6" ht="14.4">
      <c r="A83" s="798"/>
      <c r="B83" s="798"/>
      <c r="D83" s="880"/>
      <c r="E83" s="880"/>
      <c r="F83" s="880"/>
    </row>
    <row r="84" spans="1:6" ht="15" customHeight="1">
      <c r="A84" s="798"/>
      <c r="B84" s="799" t="s">
        <v>2576</v>
      </c>
      <c r="D84" s="1909" t="s">
        <v>2257</v>
      </c>
      <c r="E84" s="1909"/>
      <c r="F84" s="1909"/>
    </row>
    <row r="85" spans="1:6" ht="14.4">
      <c r="A85" s="798"/>
      <c r="B85" s="798"/>
      <c r="D85" s="1909"/>
      <c r="E85" s="1909"/>
      <c r="F85" s="1909"/>
    </row>
    <row r="86" spans="1:6" ht="14.4">
      <c r="A86" s="798"/>
      <c r="B86" s="798"/>
      <c r="D86" s="1719"/>
      <c r="E86" s="1719"/>
      <c r="F86" s="1719"/>
    </row>
    <row r="87" spans="1:6" ht="14.4">
      <c r="A87" s="798"/>
      <c r="B87" s="799" t="s">
        <v>2577</v>
      </c>
      <c r="D87" s="1909" t="s">
        <v>2261</v>
      </c>
      <c r="E87" s="1909"/>
      <c r="F87" s="1909"/>
    </row>
    <row r="88" spans="1:6" ht="14.4">
      <c r="A88" s="798"/>
      <c r="B88" s="798"/>
      <c r="D88" s="1909"/>
      <c r="E88" s="1909"/>
      <c r="F88" s="1909"/>
    </row>
    <row r="89" spans="1:6" ht="14.4">
      <c r="A89" s="798"/>
      <c r="B89" s="798"/>
      <c r="D89" s="1909"/>
      <c r="E89" s="1909"/>
      <c r="F89" s="1909"/>
    </row>
    <row r="90" spans="1:6" ht="14.4">
      <c r="A90" s="798"/>
      <c r="B90" s="798"/>
      <c r="D90" s="1719"/>
      <c r="E90" s="1719"/>
      <c r="F90" s="1719"/>
    </row>
    <row r="91" spans="1:6" ht="14.4">
      <c r="A91" s="798"/>
      <c r="B91" s="799" t="s">
        <v>2577</v>
      </c>
      <c r="D91" s="1909" t="s">
        <v>2259</v>
      </c>
      <c r="E91" s="1909"/>
      <c r="F91" s="1909"/>
    </row>
    <row r="92" spans="1:6" s="1736" customFormat="1" ht="14.4">
      <c r="A92" s="1734"/>
      <c r="B92" s="1734"/>
      <c r="C92" s="1735"/>
      <c r="D92" s="1909"/>
      <c r="E92" s="1909"/>
      <c r="F92" s="1909"/>
    </row>
    <row r="93" spans="1:6" ht="14.4">
      <c r="A93" s="798"/>
      <c r="B93" s="798"/>
      <c r="D93" s="1725"/>
      <c r="E93" s="1726" t="s">
        <v>2260</v>
      </c>
      <c r="F93" s="1719"/>
    </row>
    <row r="94" spans="1:6" ht="14.4">
      <c r="A94" s="798"/>
      <c r="B94" s="798"/>
      <c r="D94" s="880"/>
      <c r="E94" s="880"/>
      <c r="F94" s="880"/>
    </row>
    <row r="95" spans="1:6" ht="14.4">
      <c r="A95" s="798"/>
      <c r="B95" s="799" t="s">
        <v>2577</v>
      </c>
      <c r="D95" s="1909" t="s">
        <v>2258</v>
      </c>
      <c r="E95" s="1909"/>
      <c r="F95" s="1909"/>
    </row>
    <row r="96" spans="1:6" ht="14.4">
      <c r="A96" s="798"/>
      <c r="B96" s="798"/>
      <c r="D96" s="1909"/>
      <c r="E96" s="1909"/>
      <c r="F96" s="1909"/>
    </row>
    <row r="97" spans="1:7" ht="14.4">
      <c r="A97" s="798"/>
      <c r="B97" s="798"/>
      <c r="D97" s="1719"/>
      <c r="E97" s="1719"/>
      <c r="F97" s="1719"/>
    </row>
    <row r="98" spans="1:7" ht="14.4" customHeight="1">
      <c r="A98" s="798"/>
      <c r="B98" s="799" t="s">
        <v>2577</v>
      </c>
      <c r="D98" s="1909" t="s">
        <v>1406</v>
      </c>
      <c r="E98" s="1909"/>
      <c r="F98" s="1909"/>
      <c r="G98" s="791"/>
    </row>
    <row r="99" spans="1:7" ht="14.4">
      <c r="A99" s="798"/>
      <c r="B99" s="798"/>
      <c r="D99" s="1909"/>
      <c r="E99" s="1909"/>
      <c r="F99" s="1909"/>
      <c r="G99" s="791"/>
    </row>
    <row r="100" spans="1:7" ht="14.4">
      <c r="A100" s="798"/>
      <c r="B100" s="798"/>
      <c r="D100" s="1909"/>
      <c r="E100" s="1909"/>
      <c r="F100" s="1909"/>
      <c r="G100" s="791"/>
    </row>
    <row r="101" spans="1:7" ht="14.4">
      <c r="A101" s="798"/>
      <c r="B101" s="798"/>
      <c r="D101" s="1909"/>
      <c r="E101" s="1909"/>
      <c r="F101" s="1909"/>
      <c r="G101" s="791"/>
    </row>
    <row r="102" spans="1:7" ht="14.4">
      <c r="A102" s="798"/>
      <c r="B102" s="798"/>
      <c r="D102" s="1909"/>
      <c r="E102" s="1909"/>
      <c r="F102" s="1909"/>
      <c r="G102" s="791"/>
    </row>
    <row r="103" spans="1:7" ht="14.4">
      <c r="A103" s="798"/>
      <c r="B103" s="798"/>
      <c r="D103" s="1909"/>
      <c r="E103" s="1909"/>
      <c r="F103" s="1909"/>
      <c r="G103" s="791"/>
    </row>
    <row r="104" spans="1:7" ht="14.4">
      <c r="A104" s="798"/>
      <c r="B104" s="798"/>
      <c r="D104" s="1909"/>
      <c r="E104" s="1909"/>
      <c r="F104" s="1909"/>
      <c r="G104" s="791"/>
    </row>
    <row r="105" spans="1:7" ht="14.4">
      <c r="A105" s="798"/>
      <c r="B105" s="798"/>
      <c r="D105" s="1909"/>
      <c r="E105" s="1909"/>
      <c r="F105" s="1909"/>
      <c r="G105" s="791"/>
    </row>
    <row r="106" spans="1:7" ht="14.4">
      <c r="A106" s="798"/>
      <c r="B106" s="798"/>
      <c r="D106" s="1909"/>
      <c r="E106" s="1909"/>
      <c r="F106" s="1909"/>
      <c r="G106" s="791"/>
    </row>
    <row r="107" spans="1:7" ht="14.4">
      <c r="A107" s="798"/>
      <c r="B107" s="798"/>
      <c r="D107" s="1909"/>
      <c r="E107" s="1909"/>
      <c r="F107" s="1909"/>
      <c r="G107" s="791"/>
    </row>
    <row r="108" spans="1:7" ht="14.4">
      <c r="A108" s="798"/>
      <c r="B108" s="798"/>
      <c r="D108" s="1909"/>
      <c r="E108" s="1909"/>
      <c r="F108" s="1909"/>
      <c r="G108" s="791"/>
    </row>
    <row r="109" spans="1:7" ht="14.4">
      <c r="A109" s="798"/>
      <c r="B109" s="798"/>
      <c r="D109" s="1909"/>
      <c r="E109" s="1909"/>
      <c r="F109" s="1909"/>
      <c r="G109" s="791"/>
    </row>
    <row r="110" spans="1:7" ht="14.4">
      <c r="A110" s="798"/>
      <c r="B110" s="798"/>
      <c r="D110" s="1909"/>
      <c r="E110" s="1909"/>
      <c r="F110" s="1909"/>
      <c r="G110" s="791"/>
    </row>
    <row r="111" spans="1:7" ht="14.4">
      <c r="A111" s="798"/>
      <c r="B111" s="798"/>
      <c r="D111" s="1909"/>
      <c r="E111" s="1909"/>
      <c r="F111" s="1909"/>
    </row>
    <row r="112" spans="1:7" ht="14.4">
      <c r="A112" s="798"/>
      <c r="B112" s="798"/>
      <c r="D112" s="1909"/>
      <c r="E112" s="1909"/>
      <c r="F112" s="1909"/>
    </row>
    <row r="113" spans="1:11" ht="14.4">
      <c r="A113" s="798"/>
      <c r="B113" s="798"/>
      <c r="D113" s="906"/>
      <c r="E113" s="906"/>
      <c r="F113" s="906"/>
    </row>
    <row r="114" spans="1:11" ht="14.25" customHeight="1">
      <c r="A114" s="798"/>
      <c r="B114" s="799" t="s">
        <v>2577</v>
      </c>
      <c r="D114" s="1907" t="s">
        <v>1264</v>
      </c>
      <c r="E114" s="1907"/>
      <c r="F114" s="1907"/>
    </row>
    <row r="115" spans="1:11" ht="14.4">
      <c r="A115" s="798"/>
      <c r="B115" s="798"/>
      <c r="D115" s="1907"/>
      <c r="E115" s="1907"/>
      <c r="F115" s="1907"/>
    </row>
    <row r="116" spans="1:11" ht="14.4">
      <c r="A116" s="798"/>
      <c r="B116" s="798"/>
      <c r="D116" s="1907"/>
      <c r="E116" s="1907"/>
      <c r="F116" s="1907"/>
    </row>
    <row r="117" spans="1:11" ht="14.4">
      <c r="A117" s="798"/>
      <c r="B117" s="798"/>
      <c r="D117" s="1907"/>
      <c r="E117" s="1907"/>
      <c r="F117" s="1907"/>
    </row>
    <row r="118" spans="1:11" ht="14.4">
      <c r="A118" s="798"/>
      <c r="B118" s="798"/>
      <c r="D118" s="1907"/>
      <c r="E118" s="1907"/>
      <c r="F118" s="1907"/>
    </row>
    <row r="119" spans="1:11" ht="14.4">
      <c r="A119" s="798"/>
      <c r="B119" s="798"/>
      <c r="D119" s="1907"/>
      <c r="E119" s="1907"/>
      <c r="F119" s="1907"/>
    </row>
    <row r="120" spans="1:11" ht="14.4">
      <c r="A120" s="798"/>
      <c r="B120" s="798"/>
      <c r="D120" s="1907"/>
      <c r="E120" s="1907"/>
      <c r="F120" s="1907"/>
    </row>
    <row r="121" spans="1:11" ht="14.4">
      <c r="A121" s="798"/>
      <c r="B121" s="798"/>
      <c r="D121" s="1907"/>
      <c r="E121" s="1907"/>
      <c r="F121" s="1907"/>
    </row>
    <row r="122" spans="1:11">
      <c r="C122" s="723"/>
      <c r="D122" s="907"/>
      <c r="E122" s="907"/>
      <c r="F122" s="907"/>
      <c r="G122" s="723"/>
      <c r="H122" s="723"/>
      <c r="I122" s="723"/>
      <c r="J122" s="723"/>
      <c r="K122" s="723"/>
    </row>
    <row r="123" spans="1:11" ht="14.4">
      <c r="A123" s="798"/>
      <c r="B123" s="799" t="s">
        <v>2576</v>
      </c>
      <c r="C123" s="723"/>
      <c r="D123" s="1907" t="s">
        <v>1266</v>
      </c>
      <c r="E123" s="1907"/>
      <c r="F123" s="1907"/>
      <c r="G123" s="723"/>
      <c r="H123" s="723"/>
      <c r="I123" s="723"/>
      <c r="J123" s="723"/>
      <c r="K123" s="723"/>
    </row>
    <row r="124" spans="1:11" ht="14.4">
      <c r="A124" s="798"/>
      <c r="B124" s="798"/>
      <c r="C124" s="723"/>
      <c r="D124" s="1907"/>
      <c r="E124" s="1907"/>
      <c r="F124" s="1907"/>
      <c r="G124" s="723"/>
      <c r="H124" s="723"/>
      <c r="I124" s="723"/>
      <c r="J124" s="723"/>
      <c r="K124" s="723"/>
    </row>
    <row r="125" spans="1:11"/>
    <row r="126" spans="1:11" ht="14.4">
      <c r="A126" s="798"/>
      <c r="B126" s="799" t="s">
        <v>2577</v>
      </c>
      <c r="C126" s="805"/>
      <c r="D126" s="1909" t="s">
        <v>1267</v>
      </c>
      <c r="E126" s="1909"/>
      <c r="F126" s="1909"/>
    </row>
    <row r="127" spans="1:11">
      <c r="C127" s="805"/>
      <c r="D127" s="1909"/>
      <c r="E127" s="1909"/>
      <c r="F127" s="1909"/>
    </row>
    <row r="128" spans="1:11">
      <c r="C128" s="805"/>
      <c r="D128" s="1909"/>
      <c r="E128" s="1909"/>
      <c r="F128" s="1909"/>
    </row>
    <row r="129" spans="1:7">
      <c r="C129" s="805"/>
      <c r="D129" s="1909"/>
      <c r="E129" s="1909"/>
      <c r="F129" s="1909"/>
    </row>
    <row r="130" spans="1:7">
      <c r="C130" s="805"/>
      <c r="D130" s="1909"/>
      <c r="E130" s="1909"/>
      <c r="F130" s="1909"/>
    </row>
    <row r="131" spans="1:7">
      <c r="C131" s="805"/>
      <c r="D131" s="673"/>
      <c r="E131" s="673"/>
      <c r="F131" s="673"/>
    </row>
    <row r="132" spans="1:7" s="723" customFormat="1" ht="14.4">
      <c r="A132" s="798"/>
      <c r="B132" s="799" t="s">
        <v>2576</v>
      </c>
      <c r="C132" s="805"/>
      <c r="D132" s="1866" t="s">
        <v>1268</v>
      </c>
      <c r="E132" s="1866"/>
      <c r="F132" s="1866"/>
      <c r="G132" s="673"/>
    </row>
    <row r="133" spans="1:7" s="813" customFormat="1" ht="13.65" customHeight="1">
      <c r="A133" s="810"/>
      <c r="B133" s="810"/>
      <c r="C133" s="811"/>
      <c r="D133" s="1866"/>
      <c r="E133" s="1866"/>
      <c r="F133" s="1866"/>
      <c r="G133" s="812"/>
    </row>
    <row r="134" spans="1:7" s="723" customFormat="1" ht="13.65" customHeight="1">
      <c r="A134" s="789"/>
      <c r="B134" s="789"/>
      <c r="C134" s="805"/>
      <c r="D134" s="1866"/>
      <c r="E134" s="1866"/>
      <c r="F134" s="1866"/>
      <c r="G134" s="673"/>
    </row>
    <row r="135" spans="1:7" s="723" customFormat="1" ht="13.65" customHeight="1">
      <c r="A135" s="789"/>
      <c r="B135" s="789"/>
      <c r="C135" s="805"/>
      <c r="D135" s="1866"/>
      <c r="E135" s="1866"/>
      <c r="F135" s="1866"/>
      <c r="G135" s="673"/>
    </row>
    <row r="136" spans="1:7" s="723" customFormat="1" ht="13.65" customHeight="1">
      <c r="A136" s="789"/>
      <c r="B136" s="789"/>
      <c r="C136" s="805"/>
      <c r="D136" s="1866"/>
      <c r="E136" s="1866"/>
      <c r="F136" s="1866"/>
      <c r="G136" s="673"/>
    </row>
    <row r="137" spans="1:7" s="723" customFormat="1" ht="13.65" customHeight="1">
      <c r="A137" s="814"/>
      <c r="B137" s="814"/>
      <c r="C137" s="805"/>
      <c r="D137" s="1866"/>
      <c r="E137" s="1866"/>
      <c r="F137" s="1866"/>
      <c r="G137" s="673"/>
    </row>
    <row r="138" spans="1:7" s="619" customFormat="1" ht="13.65" customHeight="1">
      <c r="A138" s="802"/>
      <c r="B138" s="802"/>
      <c r="C138" s="807"/>
      <c r="D138" s="1866"/>
      <c r="E138" s="1866"/>
      <c r="F138" s="1866"/>
      <c r="G138" s="694"/>
    </row>
    <row r="139" spans="1:7" s="619" customFormat="1" ht="13.65" customHeight="1">
      <c r="A139" s="802"/>
      <c r="B139" s="802"/>
      <c r="C139" s="807"/>
      <c r="D139" s="1866"/>
      <c r="E139" s="1866"/>
      <c r="F139" s="1866"/>
      <c r="G139" s="694"/>
    </row>
    <row r="140" spans="1:7" s="723" customFormat="1" ht="13.65" customHeight="1">
      <c r="A140" s="789"/>
      <c r="B140" s="789"/>
      <c r="C140" s="805"/>
      <c r="D140" s="1866"/>
      <c r="E140" s="1866"/>
      <c r="F140" s="1866"/>
      <c r="G140" s="673"/>
    </row>
    <row r="141" spans="1:7" s="723" customFormat="1" ht="13.65" customHeight="1">
      <c r="A141" s="789"/>
      <c r="B141" s="789"/>
      <c r="C141" s="805"/>
      <c r="D141" s="1866"/>
      <c r="E141" s="1866"/>
      <c r="F141" s="1866"/>
      <c r="G141" s="673"/>
    </row>
    <row r="142" spans="1:7" s="723" customFormat="1" ht="13.65" customHeight="1">
      <c r="A142" s="789"/>
      <c r="B142" s="789"/>
      <c r="C142" s="805"/>
      <c r="D142" s="1866"/>
      <c r="E142" s="1866"/>
      <c r="F142" s="1866"/>
      <c r="G142" s="673"/>
    </row>
    <row r="143" spans="1:7" s="723" customFormat="1" ht="13.65" customHeight="1">
      <c r="A143" s="789"/>
      <c r="B143" s="789"/>
      <c r="C143" s="805"/>
      <c r="D143" s="1866"/>
      <c r="E143" s="1866"/>
      <c r="F143" s="1866"/>
      <c r="G143" s="673"/>
    </row>
    <row r="144" spans="1:7" s="723" customFormat="1" ht="13.65" customHeight="1">
      <c r="A144" s="789"/>
      <c r="B144" s="789"/>
      <c r="C144" s="805"/>
      <c r="D144" s="797"/>
      <c r="E144" s="786"/>
      <c r="F144" s="786"/>
      <c r="G144" s="673"/>
    </row>
    <row r="145" spans="1:7" s="723" customFormat="1" ht="13.65" customHeight="1">
      <c r="A145" s="789"/>
      <c r="B145" s="799" t="s">
        <v>2577</v>
      </c>
      <c r="C145" s="805"/>
      <c r="D145" s="2512" t="s">
        <v>1376</v>
      </c>
      <c r="E145" s="2512"/>
      <c r="F145" s="2512"/>
      <c r="G145" s="673"/>
    </row>
    <row r="146" spans="1:7" s="723" customFormat="1" ht="13.65" customHeight="1">
      <c r="A146" s="789"/>
      <c r="B146" s="789"/>
      <c r="C146" s="805"/>
      <c r="D146" s="2512"/>
      <c r="E146" s="2512"/>
      <c r="F146" s="2512"/>
      <c r="G146" s="673"/>
    </row>
    <row r="147" spans="1:7" s="723" customFormat="1" ht="13.65" customHeight="1">
      <c r="A147" s="789"/>
      <c r="B147" s="789"/>
      <c r="C147" s="805"/>
      <c r="D147" s="2512"/>
      <c r="E147" s="2512"/>
      <c r="F147" s="2512"/>
      <c r="G147" s="673"/>
    </row>
    <row r="148" spans="1:7" s="723" customFormat="1" ht="13.65" customHeight="1">
      <c r="A148" s="789"/>
      <c r="B148" s="789"/>
      <c r="C148" s="805"/>
      <c r="D148" s="2512"/>
      <c r="E148" s="2512"/>
      <c r="F148" s="2512"/>
      <c r="G148" s="673"/>
    </row>
    <row r="149" spans="1:7" s="723" customFormat="1" ht="13.65" customHeight="1">
      <c r="A149" s="789"/>
      <c r="B149" s="789"/>
      <c r="C149" s="805"/>
      <c r="D149" s="2512"/>
      <c r="E149" s="2512"/>
      <c r="F149" s="2512"/>
      <c r="G149" s="673"/>
    </row>
    <row r="150" spans="1:7" s="723" customFormat="1" ht="13.65" customHeight="1">
      <c r="A150" s="789"/>
      <c r="B150" s="789"/>
      <c r="C150" s="805"/>
      <c r="D150" s="2512"/>
      <c r="E150" s="2512"/>
      <c r="F150" s="2512"/>
      <c r="G150" s="673"/>
    </row>
    <row r="151" spans="1:7" s="723" customFormat="1" ht="13.65" customHeight="1">
      <c r="A151" s="789"/>
      <c r="B151" s="789"/>
      <c r="C151" s="805"/>
      <c r="D151" s="2512"/>
      <c r="E151" s="2512"/>
      <c r="F151" s="2512"/>
      <c r="G151" s="673"/>
    </row>
    <row r="152" spans="1:7" s="723" customFormat="1" ht="13.65" customHeight="1">
      <c r="A152" s="789"/>
      <c r="B152" s="789"/>
      <c r="C152" s="805"/>
      <c r="D152" s="2512"/>
      <c r="E152" s="2512"/>
      <c r="F152" s="2512"/>
      <c r="G152" s="673"/>
    </row>
    <row r="153" spans="1:7" s="723" customFormat="1" ht="13.65" customHeight="1">
      <c r="A153" s="789"/>
      <c r="B153" s="789"/>
      <c r="C153" s="805"/>
      <c r="D153" s="2512"/>
      <c r="E153" s="2512"/>
      <c r="F153" s="2512"/>
      <c r="G153" s="673"/>
    </row>
    <row r="154" spans="1:7" s="723" customFormat="1" ht="13.65" customHeight="1">
      <c r="A154" s="789"/>
      <c r="B154" s="789"/>
      <c r="C154" s="805"/>
      <c r="D154" s="2512"/>
      <c r="E154" s="2512"/>
      <c r="F154" s="2512"/>
      <c r="G154" s="673"/>
    </row>
    <row r="155" spans="1:7" s="723" customFormat="1" ht="13.65" customHeight="1">
      <c r="A155" s="789"/>
      <c r="B155" s="789"/>
      <c r="C155" s="805"/>
      <c r="D155" s="2512"/>
      <c r="E155" s="2512"/>
      <c r="F155" s="2512"/>
      <c r="G155" s="673"/>
    </row>
    <row r="156" spans="1:7" s="723" customFormat="1" ht="13.65" customHeight="1">
      <c r="A156" s="789"/>
      <c r="B156" s="789"/>
      <c r="C156" s="805"/>
      <c r="D156" s="2512"/>
      <c r="E156" s="2512"/>
      <c r="F156" s="2512"/>
      <c r="G156" s="673"/>
    </row>
    <row r="157" spans="1:7" s="723" customFormat="1" ht="13.65" customHeight="1">
      <c r="A157" s="789"/>
      <c r="B157" s="789"/>
      <c r="C157" s="805"/>
      <c r="D157" s="2512"/>
      <c r="E157" s="2512"/>
      <c r="F157" s="2512"/>
      <c r="G157" s="673"/>
    </row>
    <row r="158" spans="1:7" s="723" customFormat="1" ht="13.65" customHeight="1">
      <c r="A158" s="789"/>
      <c r="B158" s="789"/>
      <c r="C158" s="805"/>
      <c r="D158" s="2512"/>
      <c r="E158" s="2512"/>
      <c r="F158" s="2512"/>
      <c r="G158" s="673"/>
    </row>
    <row r="159" spans="1:7" s="723" customFormat="1" ht="13.65" customHeight="1">
      <c r="A159" s="789"/>
      <c r="B159" s="789"/>
      <c r="C159" s="805"/>
      <c r="D159" s="2512"/>
      <c r="E159" s="2512"/>
      <c r="F159" s="2512"/>
      <c r="G159" s="673"/>
    </row>
    <row r="160" spans="1:7" s="723" customFormat="1" ht="13.65" customHeight="1">
      <c r="A160" s="789"/>
      <c r="B160" s="789"/>
      <c r="C160" s="805"/>
      <c r="D160" s="2512"/>
      <c r="E160" s="2512"/>
      <c r="F160" s="2512"/>
      <c r="G160" s="673"/>
    </row>
    <row r="161" spans="1:7" s="723" customFormat="1" ht="13.65" customHeight="1">
      <c r="A161" s="789"/>
      <c r="B161" s="789"/>
      <c r="C161" s="805"/>
      <c r="D161" s="2512"/>
      <c r="E161" s="2512"/>
      <c r="F161" s="2512"/>
      <c r="G161" s="673"/>
    </row>
    <row r="162" spans="1:7" s="723" customFormat="1" ht="13.65" customHeight="1">
      <c r="A162" s="789"/>
      <c r="B162" s="789"/>
      <c r="C162" s="805"/>
      <c r="D162" s="2512"/>
      <c r="E162" s="2512"/>
      <c r="F162" s="2512"/>
      <c r="G162" s="673"/>
    </row>
    <row r="163" spans="1:7" s="723" customFormat="1" ht="13.65" customHeight="1">
      <c r="A163" s="789"/>
      <c r="B163" s="789"/>
      <c r="C163" s="805"/>
      <c r="D163" s="2535" t="s">
        <v>1414</v>
      </c>
      <c r="E163" s="2535"/>
      <c r="F163" s="2535"/>
      <c r="G163" s="858"/>
    </row>
    <row r="164" spans="1:7" s="723" customFormat="1" ht="13.65" customHeight="1">
      <c r="A164" s="789"/>
      <c r="B164" s="789"/>
      <c r="C164" s="805"/>
      <c r="D164" s="2534"/>
      <c r="E164" s="2534"/>
      <c r="F164" s="2534"/>
      <c r="G164" s="2534"/>
    </row>
    <row r="165" spans="1:7" s="723" customFormat="1" ht="14.4" customHeight="1">
      <c r="A165" s="814"/>
      <c r="B165" s="799" t="s">
        <v>2577</v>
      </c>
      <c r="C165" s="815"/>
      <c r="D165" s="1908" t="s">
        <v>1442</v>
      </c>
      <c r="E165" s="1908"/>
      <c r="F165" s="1908"/>
      <c r="G165" s="816"/>
    </row>
    <row r="166" spans="1:7" s="723" customFormat="1" ht="14.4" customHeight="1">
      <c r="A166" s="814"/>
      <c r="B166" s="814"/>
      <c r="C166" s="815"/>
      <c r="D166" s="1908"/>
      <c r="E166" s="1908"/>
      <c r="F166" s="1908"/>
      <c r="G166" s="816"/>
    </row>
    <row r="167" spans="1:7" s="723" customFormat="1" ht="13.65" customHeight="1">
      <c r="A167" s="814"/>
      <c r="B167" s="814"/>
      <c r="C167" s="815"/>
      <c r="D167" s="1908"/>
      <c r="E167" s="1908"/>
      <c r="F167" s="1908"/>
      <c r="G167" s="816"/>
    </row>
    <row r="168" spans="1:7" s="723" customFormat="1" ht="13.65" customHeight="1">
      <c r="A168" s="814"/>
      <c r="B168" s="814"/>
      <c r="C168" s="815"/>
      <c r="D168" s="797"/>
      <c r="E168" s="815"/>
      <c r="F168" s="815"/>
      <c r="G168" s="816"/>
    </row>
    <row r="169" spans="1:7" s="723" customFormat="1" ht="13.65" customHeight="1">
      <c r="A169" s="814"/>
      <c r="B169" s="799" t="s">
        <v>2577</v>
      </c>
      <c r="C169" s="815"/>
      <c r="D169" s="1851" t="s">
        <v>1270</v>
      </c>
      <c r="E169" s="1851"/>
      <c r="F169" s="1851"/>
      <c r="G169" s="816"/>
    </row>
    <row r="170" spans="1:7" s="723" customFormat="1" ht="13.65" customHeight="1">
      <c r="A170" s="814"/>
      <c r="B170" s="814"/>
      <c r="C170" s="815"/>
      <c r="D170" s="1851"/>
      <c r="E170" s="1851"/>
      <c r="F170" s="1851"/>
      <c r="G170" s="816"/>
    </row>
    <row r="171" spans="1:7" s="723" customFormat="1" ht="13.65" customHeight="1">
      <c r="A171" s="814"/>
      <c r="B171" s="814"/>
      <c r="C171" s="815"/>
      <c r="D171" s="1851"/>
      <c r="E171" s="1851"/>
      <c r="F171" s="1851"/>
      <c r="G171" s="816"/>
    </row>
    <row r="172" spans="1:7" s="723" customFormat="1" ht="13.65" customHeight="1">
      <c r="A172" s="814"/>
      <c r="B172" s="814"/>
      <c r="C172" s="815"/>
      <c r="D172" s="1851"/>
      <c r="E172" s="1851"/>
      <c r="F172" s="1851"/>
      <c r="G172" s="816"/>
    </row>
    <row r="173" spans="1:7" s="723" customFormat="1" ht="13.65" customHeight="1">
      <c r="A173" s="789"/>
      <c r="B173" s="789"/>
      <c r="C173" s="805"/>
      <c r="D173" s="786"/>
      <c r="E173" s="786"/>
      <c r="F173" s="786"/>
      <c r="G173" s="673"/>
    </row>
    <row r="174" spans="1:7" s="723" customFormat="1" ht="13.65" customHeight="1">
      <c r="A174" s="789"/>
      <c r="B174" s="799" t="s">
        <v>2577</v>
      </c>
      <c r="C174" s="805"/>
      <c r="D174" s="1896" t="s">
        <v>1271</v>
      </c>
      <c r="E174" s="1896"/>
      <c r="F174" s="1896"/>
      <c r="G174" s="673"/>
    </row>
    <row r="175" spans="1:7" s="723" customFormat="1" ht="13.65" customHeight="1">
      <c r="A175" s="789"/>
      <c r="B175" s="789"/>
      <c r="C175" s="805"/>
      <c r="D175" s="1896"/>
      <c r="E175" s="1896"/>
      <c r="F175" s="1896"/>
      <c r="G175" s="673"/>
    </row>
    <row r="176" spans="1:7" s="723" customFormat="1" ht="13.65" customHeight="1">
      <c r="A176" s="789"/>
      <c r="B176" s="789"/>
      <c r="C176" s="805"/>
      <c r="D176" s="1896"/>
      <c r="E176" s="1896"/>
      <c r="F176" s="1896"/>
      <c r="G176" s="673"/>
    </row>
    <row r="177" spans="1:7" s="723" customFormat="1" ht="13.65" customHeight="1">
      <c r="A177" s="817"/>
      <c r="B177" s="817"/>
      <c r="C177" s="805"/>
      <c r="D177" s="790"/>
      <c r="E177" s="786"/>
      <c r="F177" s="786"/>
      <c r="G177" s="673"/>
    </row>
    <row r="178" spans="1:7">
      <c r="A178" s="1874" t="s">
        <v>1165</v>
      </c>
      <c r="B178" s="1874"/>
      <c r="C178" s="1874"/>
      <c r="D178" s="1874"/>
      <c r="E178" s="1874"/>
      <c r="F178" s="1874"/>
      <c r="G178" s="1874"/>
    </row>
    <row r="179" spans="1:7" ht="12" customHeight="1">
      <c r="D179" s="801"/>
      <c r="E179" s="801"/>
      <c r="F179" s="801"/>
    </row>
    <row r="180" spans="1:7">
      <c r="B180" s="2505" t="s">
        <v>471</v>
      </c>
      <c r="C180" s="2505"/>
      <c r="D180" s="2505"/>
      <c r="E180" s="2505"/>
      <c r="F180" s="2505"/>
    </row>
    <row r="181" spans="1:7" ht="12" customHeight="1">
      <c r="A181" s="794"/>
      <c r="B181" s="794"/>
      <c r="C181" s="794"/>
    </row>
    <row r="182" spans="1:7">
      <c r="A182" s="1874" t="s">
        <v>1166</v>
      </c>
      <c r="B182" s="1874"/>
      <c r="C182" s="1874"/>
      <c r="D182" s="1874"/>
      <c r="E182" s="1874"/>
      <c r="F182" s="1874"/>
      <c r="G182" s="1874"/>
    </row>
    <row r="183" spans="1:7" ht="12" customHeight="1">
      <c r="A183" s="818"/>
      <c r="B183" s="818"/>
      <c r="C183" s="819"/>
      <c r="D183" s="820"/>
      <c r="E183" s="821"/>
      <c r="F183" s="820"/>
      <c r="G183" s="820"/>
    </row>
    <row r="184" spans="1:7" ht="13.65" customHeight="1">
      <c r="A184" s="818"/>
      <c r="B184" s="818"/>
      <c r="C184" s="819"/>
      <c r="D184" s="1910" t="s">
        <v>2262</v>
      </c>
      <c r="E184" s="1910"/>
      <c r="F184" s="1910"/>
      <c r="G184" s="820"/>
    </row>
    <row r="185" spans="1:7">
      <c r="A185" s="818"/>
      <c r="B185" s="818"/>
      <c r="C185" s="819"/>
      <c r="D185" s="1910"/>
      <c r="E185" s="1910"/>
      <c r="F185" s="1910"/>
      <c r="G185" s="820"/>
    </row>
    <row r="186" spans="1:7">
      <c r="A186" s="818"/>
      <c r="B186" s="818"/>
      <c r="C186" s="819"/>
      <c r="D186" s="1911" t="s">
        <v>1407</v>
      </c>
      <c r="E186" s="1911"/>
      <c r="F186" s="1911"/>
      <c r="G186" s="820"/>
    </row>
    <row r="187" spans="1:7">
      <c r="A187" s="818"/>
      <c r="B187" s="818"/>
      <c r="C187" s="819"/>
      <c r="D187" s="1720"/>
      <c r="E187" s="1720"/>
      <c r="F187" s="1720"/>
      <c r="G187" s="820"/>
    </row>
    <row r="188" spans="1:7">
      <c r="A188" s="818"/>
      <c r="B188" s="799" t="s">
        <v>2576</v>
      </c>
      <c r="C188" s="819"/>
      <c r="D188" s="1873" t="s">
        <v>2263</v>
      </c>
      <c r="E188" s="1873"/>
      <c r="F188" s="1873"/>
      <c r="G188" s="820"/>
    </row>
    <row r="189" spans="1:7">
      <c r="A189" s="818"/>
      <c r="B189" s="818"/>
      <c r="C189" s="819"/>
      <c r="D189" s="1877" t="s">
        <v>2264</v>
      </c>
      <c r="E189" s="1877"/>
      <c r="F189" s="1877"/>
      <c r="G189" s="820"/>
    </row>
    <row r="190" spans="1:7">
      <c r="A190" s="818"/>
      <c r="B190" s="818"/>
      <c r="C190" s="819"/>
      <c r="D190" s="1737" t="s">
        <v>2265</v>
      </c>
      <c r="E190" s="2539" t="s">
        <v>2266</v>
      </c>
      <c r="F190" s="2539"/>
      <c r="G190" s="820"/>
    </row>
    <row r="191" spans="1:7">
      <c r="A191" s="818"/>
      <c r="B191" s="818"/>
      <c r="C191" s="819"/>
      <c r="D191" s="155"/>
      <c r="E191" s="155"/>
      <c r="F191" s="155"/>
      <c r="G191" s="820"/>
    </row>
    <row r="192" spans="1:7">
      <c r="A192" s="818"/>
      <c r="B192" s="799" t="s">
        <v>2577</v>
      </c>
      <c r="C192" s="819"/>
      <c r="D192" s="1877" t="s">
        <v>2267</v>
      </c>
      <c r="E192" s="1877"/>
      <c r="F192" s="1877"/>
      <c r="G192" s="820"/>
    </row>
    <row r="193" spans="1:7">
      <c r="A193" s="818"/>
      <c r="B193" s="818"/>
      <c r="C193" s="819"/>
      <c r="D193" s="1873" t="s">
        <v>2264</v>
      </c>
      <c r="E193" s="1873"/>
      <c r="F193" s="1873"/>
      <c r="G193" s="820"/>
    </row>
    <row r="194" spans="1:7">
      <c r="A194" s="818"/>
      <c r="B194" s="818"/>
      <c r="C194" s="819"/>
      <c r="D194" s="1718" t="s">
        <v>2268</v>
      </c>
      <c r="E194" s="2538" t="s">
        <v>2269</v>
      </c>
      <c r="F194" s="2538"/>
      <c r="G194" s="820"/>
    </row>
    <row r="195" spans="1:7">
      <c r="A195" s="818"/>
      <c r="B195" s="818"/>
      <c r="C195" s="819"/>
      <c r="D195" s="155"/>
      <c r="E195" s="155"/>
      <c r="F195" s="155"/>
      <c r="G195" s="820"/>
    </row>
    <row r="196" spans="1:7">
      <c r="A196" s="818"/>
      <c r="B196" s="1793" t="s">
        <v>2577</v>
      </c>
      <c r="C196" s="819"/>
      <c r="D196" s="1877" t="s">
        <v>2270</v>
      </c>
      <c r="E196" s="1877"/>
      <c r="F196" s="1877"/>
      <c r="G196" s="820"/>
    </row>
    <row r="197" spans="1:7">
      <c r="A197" s="818"/>
      <c r="B197" s="818"/>
      <c r="C197" s="819"/>
      <c r="D197" s="1713" t="s">
        <v>2264</v>
      </c>
      <c r="E197" s="155"/>
      <c r="F197" s="155"/>
      <c r="G197" s="820"/>
    </row>
    <row r="198" spans="1:7">
      <c r="A198" s="818"/>
      <c r="B198" s="818"/>
      <c r="C198" s="819"/>
      <c r="D198" s="1718" t="s">
        <v>2265</v>
      </c>
      <c r="E198" s="2538" t="s">
        <v>2271</v>
      </c>
      <c r="F198" s="2538"/>
      <c r="G198" s="820"/>
    </row>
    <row r="199" spans="1:7">
      <c r="A199" s="818"/>
      <c r="B199" s="818"/>
      <c r="C199" s="819"/>
      <c r="D199" s="1720"/>
      <c r="E199" s="1720"/>
      <c r="F199" s="1720"/>
      <c r="G199" s="820"/>
    </row>
    <row r="200" spans="1:7" ht="14.4">
      <c r="A200" s="798"/>
      <c r="B200" s="1793" t="s">
        <v>2577</v>
      </c>
      <c r="C200" s="819"/>
      <c r="D200" s="1909" t="s">
        <v>2272</v>
      </c>
      <c r="E200" s="1909"/>
      <c r="F200" s="1909"/>
      <c r="G200" s="820"/>
    </row>
    <row r="201" spans="1:7" ht="14.4">
      <c r="A201" s="798"/>
      <c r="B201" s="798"/>
      <c r="C201" s="819"/>
      <c r="D201" s="1909"/>
      <c r="E201" s="1909"/>
      <c r="F201" s="1909"/>
      <c r="G201" s="820"/>
    </row>
    <row r="202" spans="1:7">
      <c r="A202" s="819"/>
      <c r="B202" s="819"/>
      <c r="C202" s="819"/>
      <c r="D202" s="1909"/>
      <c r="E202" s="1909"/>
      <c r="F202" s="1909"/>
    </row>
    <row r="203" spans="1:7">
      <c r="A203" s="819"/>
      <c r="B203" s="819"/>
      <c r="C203" s="819"/>
      <c r="D203" s="804"/>
      <c r="E203" s="820"/>
      <c r="F203" s="820"/>
    </row>
    <row r="204" spans="1:7">
      <c r="A204" s="819"/>
      <c r="B204" s="1793" t="s">
        <v>2577</v>
      </c>
      <c r="C204" s="819"/>
      <c r="D204" s="1877" t="s">
        <v>2273</v>
      </c>
      <c r="E204" s="1877"/>
      <c r="F204" s="1877"/>
    </row>
    <row r="205" spans="1:7">
      <c r="A205" s="819"/>
      <c r="B205" s="819"/>
      <c r="C205" s="819"/>
      <c r="D205" s="1877" t="s">
        <v>2264</v>
      </c>
      <c r="E205" s="1877"/>
      <c r="F205" s="1877"/>
    </row>
    <row r="206" spans="1:7">
      <c r="A206" s="819"/>
      <c r="B206" s="819"/>
      <c r="C206" s="819"/>
      <c r="D206" s="1718" t="s">
        <v>2265</v>
      </c>
      <c r="E206" s="2538" t="s">
        <v>2274</v>
      </c>
      <c r="F206" s="2538"/>
    </row>
    <row r="207" spans="1:7">
      <c r="A207" s="819"/>
      <c r="B207" s="819"/>
      <c r="C207" s="819"/>
      <c r="D207" s="780"/>
      <c r="E207" s="780"/>
      <c r="F207" s="780"/>
    </row>
    <row r="208" spans="1:7" s="619" customFormat="1" ht="14.4">
      <c r="A208" s="798"/>
      <c r="B208" s="1793" t="s">
        <v>2577</v>
      </c>
      <c r="C208" s="807"/>
      <c r="D208" s="1909" t="s">
        <v>1433</v>
      </c>
      <c r="E208" s="1909"/>
      <c r="F208" s="1909"/>
      <c r="G208" s="694"/>
    </row>
    <row r="209" spans="1:7" s="619" customFormat="1" ht="14.4" customHeight="1">
      <c r="A209" s="798"/>
      <c r="C209" s="807"/>
      <c r="D209" s="1909"/>
      <c r="E209" s="1909"/>
      <c r="F209" s="1909"/>
      <c r="G209" s="694"/>
    </row>
    <row r="210" spans="1:7" s="619" customFormat="1" ht="14.4">
      <c r="A210" s="798"/>
      <c r="B210" s="819"/>
      <c r="C210" s="807"/>
      <c r="D210" s="1909"/>
      <c r="E210" s="1909"/>
      <c r="F210" s="1909"/>
      <c r="G210" s="694"/>
    </row>
    <row r="211" spans="1:7" s="619" customFormat="1" ht="14.4">
      <c r="A211" s="798"/>
      <c r="B211" s="819"/>
      <c r="C211" s="807"/>
      <c r="D211" s="1909"/>
      <c r="E211" s="1909"/>
      <c r="F211" s="1909"/>
      <c r="G211" s="694"/>
    </row>
    <row r="212" spans="1:7">
      <c r="A212" s="819"/>
      <c r="B212" s="819"/>
      <c r="C212" s="819"/>
      <c r="D212" s="780"/>
      <c r="E212" s="780"/>
      <c r="F212" s="780"/>
    </row>
    <row r="213" spans="1:7">
      <c r="A213" s="1874" t="s">
        <v>1167</v>
      </c>
      <c r="B213" s="1874"/>
      <c r="C213" s="1874"/>
      <c r="D213" s="1874"/>
      <c r="E213" s="1874"/>
      <c r="F213" s="1874"/>
      <c r="G213" s="1874"/>
    </row>
    <row r="214" spans="1:7" ht="12" customHeight="1">
      <c r="D214" s="801"/>
      <c r="E214" s="801"/>
      <c r="F214" s="801"/>
    </row>
    <row r="215" spans="1:7">
      <c r="C215" s="808"/>
      <c r="D215" s="2531" t="s">
        <v>214</v>
      </c>
      <c r="E215" s="2531"/>
      <c r="F215" s="2531"/>
    </row>
    <row r="216" spans="1:7">
      <c r="A216" s="794"/>
      <c r="B216" s="794"/>
      <c r="C216" s="794"/>
      <c r="D216" s="2507" t="s">
        <v>1296</v>
      </c>
      <c r="E216" s="2507"/>
      <c r="F216" s="2507"/>
    </row>
    <row r="217" spans="1:7" ht="12" customHeight="1">
      <c r="A217" s="817"/>
      <c r="B217" s="817"/>
      <c r="C217" s="817"/>
    </row>
    <row r="218" spans="1:7" ht="13.65" customHeight="1">
      <c r="A218" s="817"/>
      <c r="C218" s="817"/>
      <c r="D218" s="1864" t="s">
        <v>580</v>
      </c>
      <c r="E218" s="1864"/>
      <c r="F218" s="1864"/>
    </row>
    <row r="219" spans="1:7" ht="14.4">
      <c r="A219" s="798"/>
      <c r="B219" s="799" t="s">
        <v>2576</v>
      </c>
      <c r="D219" s="1909" t="s">
        <v>2275</v>
      </c>
      <c r="E219" s="1909"/>
      <c r="F219" s="1909"/>
    </row>
    <row r="220" spans="1:7" ht="14.25" customHeight="1">
      <c r="A220" s="798"/>
      <c r="B220" s="798"/>
      <c r="D220" s="1909"/>
      <c r="E220" s="1909"/>
      <c r="F220" s="1909"/>
    </row>
    <row r="221" spans="1:7" ht="14.25" customHeight="1">
      <c r="A221" s="798"/>
      <c r="B221" s="798"/>
      <c r="D221" s="1909"/>
      <c r="E221" s="1909"/>
      <c r="F221" s="1909"/>
    </row>
    <row r="222" spans="1:7" ht="14.4">
      <c r="A222" s="798"/>
      <c r="B222" s="798"/>
      <c r="D222" s="1909"/>
      <c r="E222" s="1909"/>
      <c r="F222" s="1909"/>
    </row>
    <row r="223" spans="1:7" ht="14.4">
      <c r="A223" s="798"/>
      <c r="B223" s="798"/>
      <c r="D223" s="1719"/>
      <c r="E223" s="1719"/>
      <c r="F223" s="1719"/>
    </row>
    <row r="224" spans="1:7" ht="14.4">
      <c r="A224" s="798"/>
      <c r="B224" s="799" t="s">
        <v>2576</v>
      </c>
      <c r="D224" s="1909" t="s">
        <v>2276</v>
      </c>
      <c r="E224" s="1909"/>
      <c r="F224" s="1909"/>
    </row>
    <row r="225" spans="1:6" ht="14.4">
      <c r="A225" s="798"/>
      <c r="B225" s="798"/>
      <c r="D225" s="1909"/>
      <c r="E225" s="1909"/>
      <c r="F225" s="1909"/>
    </row>
    <row r="226" spans="1:6" ht="14.4">
      <c r="A226" s="798"/>
      <c r="B226" s="798"/>
      <c r="D226" s="1909"/>
      <c r="E226" s="1909"/>
      <c r="F226" s="1909"/>
    </row>
    <row r="227" spans="1:6" ht="14.4">
      <c r="A227" s="798"/>
      <c r="B227" s="798"/>
      <c r="D227" s="1909"/>
      <c r="E227" s="1909"/>
      <c r="F227" s="1909"/>
    </row>
    <row r="228" spans="1:6" ht="14.25" customHeight="1">
      <c r="A228" s="798"/>
      <c r="B228" s="798"/>
      <c r="D228" s="1909"/>
      <c r="E228" s="1909"/>
      <c r="F228" s="1909"/>
    </row>
    <row r="229" spans="1:6" ht="14.25" customHeight="1">
      <c r="A229" s="798"/>
      <c r="B229" s="798"/>
      <c r="D229" s="1719"/>
      <c r="E229" s="1719"/>
      <c r="F229" s="1719"/>
    </row>
    <row r="230" spans="1:6" ht="14.4">
      <c r="A230" s="798"/>
      <c r="B230" s="798"/>
      <c r="D230" s="1909" t="s">
        <v>1292</v>
      </c>
      <c r="E230" s="1909"/>
      <c r="F230" s="1909"/>
    </row>
    <row r="231" spans="1:6" ht="14.4">
      <c r="A231" s="798"/>
      <c r="B231" s="798"/>
      <c r="D231" s="1909"/>
      <c r="E231" s="1909"/>
      <c r="F231" s="1909"/>
    </row>
    <row r="232" spans="1:6" ht="14.4">
      <c r="A232" s="798"/>
      <c r="B232" s="798"/>
      <c r="D232" s="1909"/>
      <c r="E232" s="1909"/>
      <c r="F232" s="1909"/>
    </row>
    <row r="233" spans="1:6" ht="14.4">
      <c r="A233" s="798"/>
      <c r="B233" s="798"/>
      <c r="D233" s="1909"/>
      <c r="E233" s="1909"/>
      <c r="F233" s="1909"/>
    </row>
    <row r="234" spans="1:6" ht="14.4">
      <c r="A234" s="798"/>
      <c r="B234" s="798"/>
      <c r="D234" s="1909"/>
      <c r="E234" s="1909"/>
      <c r="F234" s="1909"/>
    </row>
    <row r="235" spans="1:6" ht="14.4">
      <c r="A235" s="798"/>
      <c r="B235" s="798"/>
      <c r="D235" s="801"/>
      <c r="E235" s="801"/>
      <c r="F235" s="801"/>
    </row>
    <row r="236" spans="1:6" ht="14.4">
      <c r="A236" s="798"/>
      <c r="B236" s="799" t="s">
        <v>2577</v>
      </c>
      <c r="D236" s="2504" t="s">
        <v>2280</v>
      </c>
      <c r="E236" s="2504"/>
      <c r="F236" s="2504"/>
    </row>
    <row r="237" spans="1:6" ht="14.4">
      <c r="A237" s="798"/>
      <c r="B237" s="798"/>
      <c r="D237" s="2504"/>
      <c r="E237" s="2504"/>
      <c r="F237" s="2504"/>
    </row>
    <row r="238" spans="1:6" ht="14.4">
      <c r="A238" s="798"/>
      <c r="B238" s="798"/>
      <c r="D238" s="2504"/>
      <c r="E238" s="2504"/>
      <c r="F238" s="2504"/>
    </row>
    <row r="239" spans="1:6" ht="14.4">
      <c r="A239" s="798"/>
      <c r="B239" s="798"/>
      <c r="D239" s="2505" t="s">
        <v>966</v>
      </c>
      <c r="E239" s="2505"/>
      <c r="F239" s="2505"/>
    </row>
    <row r="240" spans="1:6" ht="14.4">
      <c r="A240" s="798"/>
      <c r="B240" s="798"/>
      <c r="D240" s="801"/>
      <c r="E240" s="801"/>
      <c r="F240" s="801"/>
    </row>
    <row r="241" spans="1:7" ht="14.4" customHeight="1">
      <c r="A241" s="798"/>
      <c r="B241" s="799" t="s">
        <v>2577</v>
      </c>
      <c r="D241" s="2504" t="s">
        <v>1295</v>
      </c>
      <c r="E241" s="2504"/>
      <c r="F241" s="2504"/>
    </row>
    <row r="242" spans="1:7" ht="14.4">
      <c r="A242" s="798"/>
      <c r="B242" s="798"/>
      <c r="D242" s="2504"/>
      <c r="E242" s="2504"/>
      <c r="F242" s="2504"/>
    </row>
    <row r="243" spans="1:7" ht="14.4">
      <c r="A243" s="798"/>
      <c r="B243" s="798"/>
      <c r="D243" s="2504"/>
      <c r="E243" s="2504"/>
      <c r="F243" s="2504"/>
    </row>
    <row r="244" spans="1:7" ht="14.4">
      <c r="A244" s="798"/>
      <c r="B244" s="798"/>
      <c r="D244" s="2504"/>
      <c r="E244" s="2504"/>
      <c r="F244" s="2504"/>
    </row>
    <row r="245" spans="1:7" ht="14.4">
      <c r="A245" s="798"/>
      <c r="B245" s="798"/>
      <c r="D245" s="2504"/>
      <c r="E245" s="2504"/>
      <c r="F245" s="2504"/>
    </row>
    <row r="246" spans="1:7" ht="14.4">
      <c r="A246" s="798"/>
      <c r="B246" s="798"/>
      <c r="D246" s="1731"/>
      <c r="E246" s="1731"/>
      <c r="F246" s="1731"/>
    </row>
    <row r="247" spans="1:7" ht="14.4">
      <c r="A247" s="798"/>
      <c r="B247" s="799" t="s">
        <v>2576</v>
      </c>
      <c r="D247" s="1730" t="s">
        <v>2277</v>
      </c>
      <c r="E247" s="1731"/>
      <c r="F247" s="1731"/>
    </row>
    <row r="248" spans="1:7" ht="14.4">
      <c r="A248" s="798"/>
      <c r="B248" s="798"/>
      <c r="D248" s="1730"/>
      <c r="E248" s="1738" t="s">
        <v>2278</v>
      </c>
      <c r="F248" s="1731"/>
    </row>
    <row r="249" spans="1:7">
      <c r="D249" s="801"/>
      <c r="E249" s="801"/>
      <c r="F249" s="801"/>
    </row>
    <row r="250" spans="1:7" ht="14.4">
      <c r="A250" s="798"/>
      <c r="B250" s="799" t="s">
        <v>2576</v>
      </c>
      <c r="D250" s="1909" t="s">
        <v>1294</v>
      </c>
      <c r="E250" s="1909"/>
      <c r="F250" s="1909"/>
    </row>
    <row r="251" spans="1:7" ht="14.4">
      <c r="A251" s="798"/>
      <c r="B251" s="798"/>
      <c r="D251" s="1909"/>
      <c r="E251" s="1909"/>
      <c r="F251" s="1909"/>
    </row>
    <row r="252" spans="1:7">
      <c r="D252" s="822"/>
    </row>
    <row r="253" spans="1:7">
      <c r="A253" s="1874" t="s">
        <v>1168</v>
      </c>
      <c r="B253" s="1874"/>
      <c r="C253" s="1874"/>
      <c r="D253" s="1874"/>
      <c r="E253" s="1874"/>
      <c r="F253" s="1874"/>
      <c r="G253" s="1874"/>
    </row>
    <row r="254" spans="1:7">
      <c r="D254" s="822"/>
    </row>
    <row r="255" spans="1:7">
      <c r="C255" s="808"/>
      <c r="D255" s="1864" t="s">
        <v>1297</v>
      </c>
      <c r="E255" s="1864"/>
      <c r="F255" s="1864"/>
    </row>
    <row r="256" spans="1:7">
      <c r="A256" s="794"/>
      <c r="B256" s="794"/>
      <c r="C256" s="794"/>
      <c r="D256" s="801"/>
      <c r="E256" s="801"/>
      <c r="F256" s="801"/>
    </row>
    <row r="257" spans="1:6">
      <c r="A257" s="796"/>
      <c r="B257" s="796"/>
      <c r="C257" s="796"/>
      <c r="D257" s="1864" t="s">
        <v>277</v>
      </c>
      <c r="E257" s="1864"/>
      <c r="F257" s="1864"/>
    </row>
    <row r="258" spans="1:6" ht="14.4" customHeight="1">
      <c r="A258" s="798"/>
      <c r="B258" s="799" t="s">
        <v>2576</v>
      </c>
      <c r="D258" s="2524" t="s">
        <v>1408</v>
      </c>
      <c r="E258" s="2524"/>
      <c r="F258" s="2524"/>
    </row>
    <row r="259" spans="1:6">
      <c r="D259" s="2524"/>
      <c r="E259" s="2524"/>
      <c r="F259" s="2524"/>
    </row>
    <row r="260" spans="1:6">
      <c r="D260" s="2507" t="s">
        <v>957</v>
      </c>
      <c r="E260" s="2507"/>
      <c r="F260" s="2507"/>
    </row>
    <row r="261" spans="1:6">
      <c r="D261" s="801"/>
      <c r="E261" s="801"/>
      <c r="F261" s="801"/>
    </row>
    <row r="262" spans="1:6" ht="14.4" customHeight="1">
      <c r="A262" s="798"/>
      <c r="B262" s="799" t="s">
        <v>2577</v>
      </c>
      <c r="D262" s="2504" t="s">
        <v>2279</v>
      </c>
      <c r="E262" s="2504"/>
      <c r="F262" s="2504"/>
    </row>
    <row r="263" spans="1:6">
      <c r="D263" s="2504"/>
      <c r="E263" s="2504"/>
      <c r="F263" s="2504"/>
    </row>
    <row r="264" spans="1:6">
      <c r="D264" s="2504"/>
      <c r="E264" s="2504"/>
      <c r="F264" s="2504"/>
    </row>
    <row r="265" spans="1:6">
      <c r="D265" s="2504"/>
      <c r="E265" s="2504"/>
      <c r="F265" s="2504"/>
    </row>
    <row r="266" spans="1:6">
      <c r="D266" s="2504"/>
      <c r="E266" s="2504"/>
      <c r="F266" s="2504"/>
    </row>
    <row r="267" spans="1:6">
      <c r="D267" s="2504"/>
      <c r="E267" s="2504"/>
      <c r="F267" s="2504"/>
    </row>
    <row r="268" spans="1:6">
      <c r="D268" s="801"/>
      <c r="E268" s="801"/>
      <c r="F268" s="801"/>
    </row>
    <row r="269" spans="1:6" ht="14.4">
      <c r="A269" s="798"/>
      <c r="B269" s="799" t="s">
        <v>2577</v>
      </c>
      <c r="D269" s="1909" t="s">
        <v>1300</v>
      </c>
      <c r="E269" s="1909"/>
      <c r="F269" s="1909"/>
    </row>
    <row r="270" spans="1:6">
      <c r="D270" s="1909"/>
      <c r="E270" s="1909"/>
      <c r="F270" s="1909"/>
    </row>
    <row r="271" spans="1:6">
      <c r="D271" s="1909"/>
      <c r="E271" s="1909"/>
      <c r="F271" s="1909"/>
    </row>
    <row r="272" spans="1:6">
      <c r="D272" s="823"/>
      <c r="E272" s="801"/>
      <c r="F272" s="801"/>
    </row>
    <row r="273" spans="1:7">
      <c r="A273" s="1874" t="s">
        <v>1169</v>
      </c>
      <c r="B273" s="1874"/>
      <c r="C273" s="1874"/>
      <c r="D273" s="1874"/>
      <c r="E273" s="1874"/>
      <c r="F273" s="1874"/>
      <c r="G273" s="1874"/>
    </row>
    <row r="274" spans="1:7">
      <c r="D274" s="823"/>
      <c r="E274" s="801"/>
      <c r="F274" s="801"/>
    </row>
    <row r="275" spans="1:7">
      <c r="C275" s="794"/>
      <c r="D275" s="2506" t="s">
        <v>1302</v>
      </c>
      <c r="E275" s="2506"/>
      <c r="F275" s="2506"/>
    </row>
    <row r="276" spans="1:7">
      <c r="C276" s="794"/>
      <c r="D276" s="2506"/>
      <c r="E276" s="2506"/>
      <c r="F276" s="2506"/>
    </row>
    <row r="277" spans="1:7">
      <c r="A277" s="796"/>
      <c r="B277" s="796"/>
      <c r="C277" s="796"/>
      <c r="D277" s="623"/>
      <c r="E277" s="673"/>
      <c r="F277" s="673"/>
    </row>
    <row r="278" spans="1:7">
      <c r="C278" s="796"/>
      <c r="D278" s="1864" t="s">
        <v>215</v>
      </c>
      <c r="E278" s="1864"/>
      <c r="F278" s="1864"/>
    </row>
    <row r="279" spans="1:7" ht="15.75" customHeight="1">
      <c r="A279" s="798"/>
      <c r="B279" s="798"/>
      <c r="D279" s="2517" t="s">
        <v>1303</v>
      </c>
      <c r="E279" s="2517"/>
      <c r="F279" s="2517"/>
    </row>
    <row r="280" spans="1:7">
      <c r="E280" s="801"/>
      <c r="F280" s="801"/>
    </row>
    <row r="281" spans="1:7" ht="14.4">
      <c r="A281" s="798"/>
      <c r="B281" s="799" t="s">
        <v>2577</v>
      </c>
      <c r="D281" s="1909" t="s">
        <v>1304</v>
      </c>
      <c r="E281" s="1909"/>
      <c r="F281" s="1909"/>
    </row>
    <row r="282" spans="1:7" ht="14.4">
      <c r="A282" s="798"/>
      <c r="B282" s="798"/>
      <c r="D282" s="1909"/>
      <c r="E282" s="1909"/>
      <c r="F282" s="1909"/>
    </row>
    <row r="283" spans="1:7">
      <c r="D283" s="801"/>
      <c r="E283" s="801"/>
      <c r="F283" s="801"/>
    </row>
    <row r="284" spans="1:7" ht="14.4">
      <c r="A284" s="798"/>
      <c r="B284" s="799" t="s">
        <v>2577</v>
      </c>
      <c r="D284" s="2504" t="s">
        <v>1305</v>
      </c>
      <c r="E284" s="2504"/>
      <c r="F284" s="2504"/>
    </row>
    <row r="285" spans="1:7" ht="14.4">
      <c r="A285" s="798"/>
      <c r="B285" s="798"/>
      <c r="D285" s="2504"/>
      <c r="E285" s="2504"/>
      <c r="F285" s="2504"/>
    </row>
    <row r="286" spans="1:7" ht="14.4">
      <c r="A286" s="798"/>
      <c r="B286" s="798"/>
      <c r="D286" s="2504"/>
      <c r="E286" s="2504"/>
      <c r="F286" s="2504"/>
    </row>
    <row r="287" spans="1:7">
      <c r="D287" s="801"/>
      <c r="E287" s="801"/>
      <c r="F287" s="801"/>
    </row>
    <row r="288" spans="1:7" ht="14.4">
      <c r="A288" s="798"/>
      <c r="B288" s="799" t="s">
        <v>2577</v>
      </c>
      <c r="D288" s="1909" t="s">
        <v>1306</v>
      </c>
      <c r="E288" s="1909"/>
      <c r="F288" s="1909"/>
    </row>
    <row r="289" spans="1:7" ht="14.4">
      <c r="A289" s="798"/>
      <c r="B289" s="798"/>
      <c r="D289" s="1909"/>
      <c r="E289" s="1909"/>
      <c r="F289" s="1909"/>
    </row>
    <row r="290" spans="1:7">
      <c r="A290" s="817"/>
      <c r="B290" s="817"/>
      <c r="E290" s="801"/>
      <c r="F290" s="801"/>
    </row>
    <row r="291" spans="1:7">
      <c r="A291" s="1874" t="s">
        <v>1170</v>
      </c>
      <c r="B291" s="1874"/>
      <c r="C291" s="1874"/>
      <c r="D291" s="1874"/>
      <c r="E291" s="1874"/>
      <c r="F291" s="1874"/>
      <c r="G291" s="1874"/>
    </row>
    <row r="292" spans="1:7">
      <c r="A292" s="817"/>
      <c r="B292" s="817"/>
      <c r="D292" s="801"/>
      <c r="E292" s="801"/>
      <c r="F292" s="801"/>
    </row>
    <row r="293" spans="1:7">
      <c r="C293" s="817"/>
      <c r="D293" s="1864" t="s">
        <v>720</v>
      </c>
      <c r="E293" s="1864"/>
      <c r="F293" s="1864"/>
    </row>
    <row r="294" spans="1:7">
      <c r="C294" s="817"/>
      <c r="D294" s="1914" t="s">
        <v>1307</v>
      </c>
      <c r="E294" s="1914"/>
      <c r="F294" s="1914"/>
    </row>
    <row r="295" spans="1:7">
      <c r="C295" s="817"/>
      <c r="D295" s="824"/>
    </row>
    <row r="296" spans="1:7">
      <c r="A296" s="802"/>
      <c r="B296" s="1793" t="s">
        <v>2577</v>
      </c>
      <c r="D296" s="1914" t="s">
        <v>1308</v>
      </c>
      <c r="E296" s="1914"/>
      <c r="F296" s="1914"/>
    </row>
    <row r="297" spans="1:7" s="792" customFormat="1" ht="14.4">
      <c r="A297" s="806"/>
      <c r="B297" s="806"/>
      <c r="C297" s="802"/>
      <c r="D297" s="825"/>
      <c r="E297" s="826"/>
      <c r="F297" s="826"/>
      <c r="G297" s="803"/>
    </row>
    <row r="298" spans="1:7" s="792" customFormat="1" ht="13.65" customHeight="1">
      <c r="A298" s="802"/>
      <c r="B298" s="1793" t="s">
        <v>2577</v>
      </c>
      <c r="C298" s="802"/>
      <c r="D298" s="2513" t="s">
        <v>1437</v>
      </c>
      <c r="E298" s="2513"/>
      <c r="F298" s="2513"/>
      <c r="G298" s="803"/>
    </row>
    <row r="299" spans="1:7" s="792" customFormat="1" ht="14.4">
      <c r="A299" s="806"/>
      <c r="B299" s="806"/>
      <c r="C299" s="802"/>
      <c r="D299" s="2513"/>
      <c r="E299" s="2513"/>
      <c r="F299" s="2513"/>
      <c r="G299" s="803"/>
    </row>
    <row r="300" spans="1:7" s="792" customFormat="1" ht="14.4">
      <c r="A300" s="806"/>
      <c r="B300" s="806"/>
      <c r="C300" s="802"/>
      <c r="D300" s="2513"/>
      <c r="E300" s="2513"/>
      <c r="F300" s="2513"/>
      <c r="G300" s="803"/>
    </row>
    <row r="301" spans="1:7" s="792" customFormat="1" ht="14.4">
      <c r="A301" s="806"/>
      <c r="B301" s="806"/>
      <c r="C301" s="802"/>
      <c r="D301" s="2513"/>
      <c r="E301" s="2513"/>
      <c r="F301" s="2513"/>
      <c r="G301" s="803"/>
    </row>
    <row r="302" spans="1:7" s="792" customFormat="1" ht="14.4">
      <c r="A302" s="806"/>
      <c r="B302" s="806"/>
      <c r="C302" s="802"/>
      <c r="D302" s="2513"/>
      <c r="E302" s="2513"/>
      <c r="F302" s="2513"/>
      <c r="G302" s="803"/>
    </row>
    <row r="303" spans="1:7" s="792" customFormat="1" ht="14.4">
      <c r="A303" s="806"/>
      <c r="B303" s="806"/>
      <c r="C303" s="802"/>
      <c r="D303" s="825"/>
      <c r="E303" s="826"/>
      <c r="F303" s="826"/>
      <c r="G303" s="803"/>
    </row>
    <row r="304" spans="1:7" s="792" customFormat="1" ht="13.65" customHeight="1">
      <c r="A304" s="802"/>
      <c r="B304" s="1793" t="s">
        <v>2577</v>
      </c>
      <c r="C304" s="802"/>
      <c r="D304" s="2513" t="s">
        <v>1310</v>
      </c>
      <c r="E304" s="2513"/>
      <c r="F304" s="2513"/>
      <c r="G304" s="803"/>
    </row>
    <row r="305" spans="1:7" s="792" customFormat="1">
      <c r="A305" s="802"/>
      <c r="B305" s="802"/>
      <c r="C305" s="802"/>
      <c r="D305" s="2513"/>
      <c r="E305" s="2513"/>
      <c r="F305" s="2513"/>
      <c r="G305" s="803"/>
    </row>
    <row r="306" spans="1:7" s="792" customFormat="1" ht="14.4">
      <c r="A306" s="806"/>
      <c r="B306" s="806"/>
      <c r="C306" s="802"/>
      <c r="D306" s="825"/>
      <c r="E306" s="826"/>
      <c r="F306" s="826"/>
      <c r="G306" s="803"/>
    </row>
    <row r="307" spans="1:7">
      <c r="A307" s="802"/>
      <c r="B307" s="1793" t="s">
        <v>2577</v>
      </c>
      <c r="D307" s="1914" t="s">
        <v>1311</v>
      </c>
      <c r="E307" s="1914"/>
      <c r="F307" s="1914"/>
    </row>
    <row r="308" spans="1:7">
      <c r="E308" s="801"/>
      <c r="F308" s="801"/>
    </row>
    <row r="309" spans="1:7" ht="14.4">
      <c r="A309" s="798"/>
      <c r="B309" s="1793" t="s">
        <v>2577</v>
      </c>
      <c r="D309" s="2504" t="s">
        <v>1465</v>
      </c>
      <c r="E309" s="2504"/>
      <c r="F309" s="2504"/>
    </row>
    <row r="310" spans="1:7" ht="14.4">
      <c r="A310" s="798"/>
      <c r="B310" s="798"/>
      <c r="D310" s="2504"/>
      <c r="E310" s="2504"/>
      <c r="F310" s="2504"/>
    </row>
    <row r="311" spans="1:7" ht="14.4">
      <c r="A311" s="798"/>
      <c r="B311" s="798"/>
      <c r="D311" s="2504"/>
      <c r="E311" s="2504"/>
      <c r="F311" s="2504"/>
    </row>
    <row r="312" spans="1:7" ht="14.4">
      <c r="A312" s="798"/>
      <c r="B312" s="798"/>
      <c r="D312" s="2504"/>
      <c r="E312" s="2504"/>
      <c r="F312" s="2504"/>
    </row>
    <row r="313" spans="1:7" ht="14.4">
      <c r="A313" s="798"/>
      <c r="B313" s="798"/>
      <c r="D313" s="2504"/>
      <c r="E313" s="2504"/>
      <c r="F313" s="2504"/>
    </row>
    <row r="314" spans="1:7" ht="14.4">
      <c r="A314" s="798"/>
      <c r="B314" s="798"/>
      <c r="D314" s="2504"/>
      <c r="E314" s="2504"/>
      <c r="F314" s="2504"/>
    </row>
    <row r="315" spans="1:7" ht="14.4">
      <c r="A315" s="798"/>
      <c r="B315" s="798"/>
      <c r="D315" s="2504"/>
      <c r="E315" s="2504"/>
      <c r="F315" s="2504"/>
    </row>
    <row r="316" spans="1:7" ht="14.4">
      <c r="A316" s="798"/>
      <c r="B316" s="798"/>
      <c r="D316" s="2504"/>
      <c r="E316" s="2504"/>
      <c r="F316" s="2504"/>
    </row>
    <row r="317" spans="1:7" ht="14.4">
      <c r="A317" s="798"/>
      <c r="B317" s="798"/>
      <c r="D317" s="2504"/>
      <c r="E317" s="2504"/>
      <c r="F317" s="2504"/>
    </row>
    <row r="318" spans="1:7" ht="14.4">
      <c r="A318" s="798"/>
      <c r="B318" s="798"/>
      <c r="D318" s="2504"/>
      <c r="E318" s="2504"/>
      <c r="F318" s="2504"/>
    </row>
    <row r="319" spans="1:7" ht="14.4">
      <c r="A319" s="798"/>
      <c r="B319" s="798"/>
      <c r="D319" s="2504"/>
      <c r="E319" s="2504"/>
      <c r="F319" s="2504"/>
    </row>
    <row r="320" spans="1:7" ht="14.4">
      <c r="A320" s="798"/>
      <c r="B320" s="798"/>
      <c r="D320" s="2504"/>
      <c r="E320" s="2504"/>
      <c r="F320" s="2504"/>
    </row>
    <row r="321" spans="1:7" ht="14.4">
      <c r="A321" s="798"/>
      <c r="B321" s="798"/>
      <c r="D321" s="2504"/>
      <c r="E321" s="2504"/>
      <c r="F321" s="2504"/>
    </row>
    <row r="322" spans="1:7" ht="14.4">
      <c r="A322" s="798"/>
      <c r="B322" s="798"/>
      <c r="D322" s="2504"/>
      <c r="E322" s="2504"/>
      <c r="F322" s="2504"/>
    </row>
    <row r="323" spans="1:7" ht="14.4">
      <c r="A323" s="798"/>
      <c r="B323" s="798"/>
      <c r="D323" s="2504"/>
      <c r="E323" s="2504"/>
      <c r="F323" s="2504"/>
    </row>
    <row r="324" spans="1:7">
      <c r="D324" s="801"/>
      <c r="E324" s="801"/>
      <c r="F324" s="801"/>
    </row>
    <row r="325" spans="1:7" ht="14.4">
      <c r="A325" s="798"/>
      <c r="B325" s="1793" t="s">
        <v>2577</v>
      </c>
      <c r="D325" s="2504" t="s">
        <v>1313</v>
      </c>
      <c r="E325" s="2504"/>
      <c r="F325" s="2504"/>
    </row>
    <row r="326" spans="1:7">
      <c r="D326" s="2504"/>
      <c r="E326" s="2504"/>
      <c r="F326" s="2504"/>
    </row>
    <row r="327" spans="1:7">
      <c r="D327" s="2504"/>
      <c r="E327" s="2504"/>
      <c r="F327" s="2504"/>
    </row>
    <row r="328" spans="1:7">
      <c r="D328" s="2504"/>
      <c r="E328" s="2504"/>
      <c r="F328" s="2504"/>
    </row>
    <row r="329" spans="1:7">
      <c r="D329" s="2504"/>
      <c r="E329" s="2504"/>
      <c r="F329" s="2504"/>
    </row>
    <row r="330" spans="1:7">
      <c r="D330" s="2504"/>
      <c r="E330" s="2504"/>
      <c r="F330" s="2504"/>
    </row>
    <row r="331" spans="1:7">
      <c r="D331" s="2504"/>
      <c r="E331" s="2504"/>
      <c r="F331" s="2504"/>
    </row>
    <row r="332" spans="1:7">
      <c r="D332" s="2504"/>
      <c r="E332" s="2504"/>
      <c r="F332" s="2504"/>
    </row>
    <row r="333" spans="1:7">
      <c r="D333" s="2504"/>
      <c r="E333" s="2504"/>
      <c r="F333" s="2504"/>
    </row>
    <row r="334" spans="1:7">
      <c r="D334" s="801"/>
      <c r="E334" s="801"/>
      <c r="F334" s="801"/>
    </row>
    <row r="335" spans="1:7" ht="14.4">
      <c r="A335" s="798"/>
      <c r="B335" s="1793" t="s">
        <v>2577</v>
      </c>
      <c r="D335" s="1909" t="s">
        <v>1516</v>
      </c>
      <c r="E335" s="1909"/>
      <c r="F335" s="1909"/>
    </row>
    <row r="336" spans="1:7">
      <c r="D336" s="1909"/>
      <c r="E336" s="1909"/>
      <c r="F336" s="1909"/>
      <c r="G336" s="791"/>
    </row>
    <row r="337" spans="1:9">
      <c r="D337" s="1909"/>
      <c r="E337" s="1909"/>
      <c r="F337" s="1909"/>
      <c r="G337" s="791"/>
    </row>
    <row r="338" spans="1:9">
      <c r="D338" s="1909"/>
      <c r="E338" s="1909"/>
      <c r="F338" s="1909"/>
      <c r="G338" s="791"/>
    </row>
    <row r="339" spans="1:9">
      <c r="D339" s="1909"/>
      <c r="E339" s="1909"/>
      <c r="F339" s="1909"/>
      <c r="G339" s="791"/>
    </row>
    <row r="340" spans="1:9">
      <c r="D340" s="1909"/>
      <c r="E340" s="1909"/>
      <c r="F340" s="1909"/>
      <c r="G340" s="791"/>
    </row>
    <row r="341" spans="1:9">
      <c r="D341" s="785"/>
      <c r="E341" s="785"/>
      <c r="F341" s="785"/>
      <c r="G341" s="791"/>
    </row>
    <row r="342" spans="1:9" ht="13.8" thickBot="1">
      <c r="D342" s="2523" t="s">
        <v>1063</v>
      </c>
      <c r="E342" s="2523"/>
      <c r="F342" s="2523"/>
      <c r="G342" s="791"/>
    </row>
    <row r="343" spans="1:9" ht="13.8" thickTop="1">
      <c r="D343" s="2514" t="s">
        <v>1315</v>
      </c>
      <c r="E343" s="2514"/>
      <c r="F343" s="2514"/>
      <c r="G343" s="791"/>
    </row>
    <row r="344" spans="1:9">
      <c r="A344" s="815"/>
      <c r="B344" s="815"/>
      <c r="C344" s="815"/>
      <c r="D344" s="787"/>
      <c r="E344" s="787"/>
      <c r="F344" s="801"/>
      <c r="G344" s="791"/>
    </row>
    <row r="345" spans="1:9" ht="14.4">
      <c r="A345" s="798"/>
      <c r="B345" s="1793" t="s">
        <v>2577</v>
      </c>
      <c r="C345" s="815"/>
      <c r="D345" s="1921" t="s">
        <v>1316</v>
      </c>
      <c r="E345" s="1921"/>
      <c r="F345" s="1921"/>
      <c r="G345" s="791"/>
    </row>
    <row r="346" spans="1:9">
      <c r="A346" s="815"/>
      <c r="B346" s="815"/>
      <c r="C346" s="815"/>
      <c r="D346" s="787"/>
      <c r="E346" s="787"/>
      <c r="F346" s="801"/>
      <c r="G346" s="791"/>
    </row>
    <row r="347" spans="1:9">
      <c r="A347" s="815"/>
      <c r="B347" s="1793" t="s">
        <v>2577</v>
      </c>
      <c r="C347" s="815"/>
      <c r="D347" s="1905" t="s">
        <v>1440</v>
      </c>
      <c r="E347" s="1905"/>
      <c r="F347" s="1905"/>
      <c r="G347" s="791"/>
    </row>
    <row r="348" spans="1:9">
      <c r="A348" s="815"/>
      <c r="B348" s="815"/>
      <c r="C348" s="815"/>
      <c r="D348" s="1905"/>
      <c r="E348" s="1905"/>
      <c r="F348" s="1905"/>
      <c r="G348" s="791"/>
    </row>
    <row r="349" spans="1:9">
      <c r="A349" s="815"/>
      <c r="B349" s="815"/>
      <c r="C349" s="815"/>
      <c r="D349" s="1905"/>
      <c r="E349" s="1905"/>
      <c r="F349" s="1905"/>
      <c r="G349" s="791"/>
    </row>
    <row r="350" spans="1:9">
      <c r="A350" s="815"/>
      <c r="B350" s="815"/>
      <c r="C350" s="815"/>
      <c r="D350" s="1905"/>
      <c r="E350" s="1905"/>
      <c r="F350" s="1905"/>
      <c r="G350" s="791"/>
    </row>
    <row r="351" spans="1:9">
      <c r="A351" s="815"/>
      <c r="B351" s="815"/>
      <c r="C351" s="815"/>
      <c r="D351" s="1905"/>
      <c r="E351" s="1905"/>
      <c r="F351" s="1905"/>
      <c r="G351" s="791"/>
      <c r="I351" s="1790"/>
    </row>
    <row r="352" spans="1:9">
      <c r="A352" s="815"/>
      <c r="B352" s="815"/>
      <c r="C352" s="815"/>
      <c r="D352" s="1905"/>
      <c r="E352" s="1905"/>
      <c r="F352" s="1905"/>
      <c r="G352" s="791"/>
      <c r="I352" s="1790"/>
    </row>
    <row r="353" spans="1:9">
      <c r="A353" s="815"/>
      <c r="B353" s="815"/>
      <c r="C353" s="815"/>
      <c r="D353" s="1905"/>
      <c r="E353" s="1905"/>
      <c r="F353" s="1905"/>
      <c r="G353" s="791"/>
      <c r="I353" s="1790"/>
    </row>
    <row r="354" spans="1:9">
      <c r="A354" s="815"/>
      <c r="B354" s="815"/>
      <c r="C354" s="815"/>
      <c r="D354" s="1905"/>
      <c r="E354" s="1905"/>
      <c r="F354" s="1905"/>
      <c r="G354" s="791"/>
      <c r="I354" s="1790"/>
    </row>
    <row r="355" spans="1:9">
      <c r="A355" s="815"/>
      <c r="B355" s="815"/>
      <c r="C355" s="815"/>
      <c r="D355" s="1905"/>
      <c r="E355" s="1905"/>
      <c r="F355" s="1905"/>
      <c r="G355" s="791"/>
      <c r="I355" s="1790"/>
    </row>
    <row r="356" spans="1:9">
      <c r="A356" s="815"/>
      <c r="B356" s="815"/>
      <c r="C356" s="815"/>
      <c r="D356" s="1905"/>
      <c r="E356" s="1905"/>
      <c r="F356" s="1905"/>
      <c r="G356" s="791"/>
      <c r="I356" s="1790"/>
    </row>
    <row r="357" spans="1:9">
      <c r="A357" s="815"/>
      <c r="B357" s="815"/>
      <c r="C357" s="815"/>
      <c r="D357" s="1905"/>
      <c r="E357" s="1905"/>
      <c r="F357" s="1905"/>
      <c r="G357" s="791"/>
    </row>
    <row r="358" spans="1:9">
      <c r="A358" s="815"/>
      <c r="B358" s="815"/>
      <c r="C358" s="815"/>
      <c r="D358" s="1905"/>
      <c r="E358" s="1905"/>
      <c r="F358" s="1905"/>
      <c r="G358" s="791"/>
    </row>
    <row r="359" spans="1:9" s="1790" customFormat="1">
      <c r="A359" s="1795"/>
      <c r="B359" s="1795"/>
      <c r="C359" s="1795"/>
      <c r="D359" s="1797"/>
      <c r="E359" s="1797"/>
      <c r="F359" s="1797"/>
    </row>
    <row r="360" spans="1:9" ht="12.45" customHeight="1">
      <c r="A360" s="815"/>
      <c r="B360" s="1793" t="s">
        <v>2577</v>
      </c>
      <c r="C360" s="815"/>
      <c r="D360" s="2508" t="s">
        <v>1441</v>
      </c>
      <c r="E360" s="2508"/>
      <c r="F360" s="2508"/>
      <c r="G360" s="791"/>
    </row>
    <row r="361" spans="1:9">
      <c r="A361" s="815"/>
      <c r="B361" s="815"/>
      <c r="C361" s="815"/>
      <c r="D361" s="2508"/>
      <c r="E361" s="2508"/>
      <c r="F361" s="2508"/>
      <c r="G361" s="791"/>
    </row>
    <row r="362" spans="1:9">
      <c r="A362" s="815"/>
      <c r="B362" s="815"/>
      <c r="C362" s="815"/>
      <c r="D362" s="2508"/>
      <c r="E362" s="2508"/>
      <c r="F362" s="2508"/>
      <c r="G362" s="791"/>
    </row>
    <row r="363" spans="1:9">
      <c r="A363" s="815"/>
      <c r="B363" s="815"/>
      <c r="C363" s="815"/>
      <c r="D363" s="2508"/>
      <c r="E363" s="2508"/>
      <c r="F363" s="2508"/>
      <c r="G363" s="791"/>
    </row>
    <row r="364" spans="1:9" s="1790" customFormat="1">
      <c r="A364" s="1795"/>
      <c r="B364" s="1795"/>
      <c r="C364" s="1795"/>
      <c r="D364" s="1796"/>
      <c r="E364" s="1796"/>
      <c r="F364" s="1796"/>
    </row>
    <row r="365" spans="1:9" s="1790" customFormat="1">
      <c r="A365" s="1795"/>
      <c r="B365" s="1793" t="s">
        <v>2577</v>
      </c>
      <c r="C365" s="1795"/>
      <c r="D365" s="1790" t="s">
        <v>2420</v>
      </c>
      <c r="E365" s="1796"/>
      <c r="F365" s="1796"/>
    </row>
    <row r="366" spans="1:9" s="1790" customFormat="1">
      <c r="A366" s="1795"/>
      <c r="B366" s="1795"/>
      <c r="C366" s="1795"/>
      <c r="D366" s="1790" t="s">
        <v>2421</v>
      </c>
      <c r="E366" s="1796"/>
      <c r="F366" s="1796"/>
    </row>
    <row r="367" spans="1:9" s="1790" customFormat="1">
      <c r="A367" s="1795"/>
      <c r="B367" s="1795"/>
      <c r="C367" s="1795"/>
      <c r="D367" s="1790" t="s">
        <v>2422</v>
      </c>
      <c r="E367" s="1796"/>
      <c r="F367" s="1796"/>
    </row>
    <row r="368" spans="1:9" s="1790" customFormat="1">
      <c r="A368" s="1795"/>
      <c r="B368" s="1795"/>
      <c r="C368" s="1795"/>
      <c r="D368" s="1790" t="s">
        <v>2423</v>
      </c>
      <c r="E368" s="1796"/>
      <c r="F368" s="1796"/>
    </row>
    <row r="369" spans="1:7" s="1790" customFormat="1">
      <c r="A369" s="1795"/>
      <c r="B369" s="1795"/>
      <c r="C369" s="1795"/>
      <c r="D369" s="1790" t="s">
        <v>2424</v>
      </c>
      <c r="E369" s="1796"/>
      <c r="F369" s="1796"/>
    </row>
    <row r="370" spans="1:7" s="1790" customFormat="1">
      <c r="A370" s="1795"/>
      <c r="B370" s="1795"/>
      <c r="C370" s="1795"/>
      <c r="D370" s="1790" t="s">
        <v>2425</v>
      </c>
      <c r="E370" s="1796"/>
      <c r="F370" s="1796"/>
    </row>
    <row r="371" spans="1:7">
      <c r="A371" s="815"/>
      <c r="B371" s="815"/>
      <c r="C371" s="815"/>
      <c r="D371" s="791"/>
      <c r="E371" s="787"/>
      <c r="F371" s="801"/>
      <c r="G371" s="791"/>
    </row>
    <row r="372" spans="1:7" ht="14.4">
      <c r="A372" s="798"/>
      <c r="B372" s="1793" t="s">
        <v>2577</v>
      </c>
      <c r="C372" s="815"/>
      <c r="D372" s="1924" t="s">
        <v>1318</v>
      </c>
      <c r="E372" s="1924"/>
      <c r="F372" s="1924"/>
      <c r="G372" s="791"/>
    </row>
    <row r="373" spans="1:7">
      <c r="A373" s="815"/>
      <c r="B373" s="815"/>
      <c r="C373" s="815"/>
      <c r="D373" s="1924"/>
      <c r="E373" s="1924"/>
      <c r="F373" s="1924"/>
      <c r="G373" s="791"/>
    </row>
    <row r="374" spans="1:7">
      <c r="A374" s="815"/>
      <c r="B374" s="815"/>
      <c r="C374" s="815"/>
      <c r="D374" s="1924"/>
      <c r="E374" s="1924"/>
      <c r="F374" s="1924"/>
      <c r="G374" s="791"/>
    </row>
    <row r="375" spans="1:7">
      <c r="A375" s="815"/>
      <c r="B375" s="815"/>
      <c r="C375" s="815"/>
      <c r="D375" s="1924"/>
      <c r="E375" s="1924"/>
      <c r="F375" s="1924"/>
      <c r="G375" s="791"/>
    </row>
    <row r="376" spans="1:7">
      <c r="A376" s="815"/>
      <c r="B376" s="815"/>
      <c r="C376" s="815"/>
      <c r="D376" s="827"/>
      <c r="E376" s="787"/>
      <c r="F376" s="801"/>
      <c r="G376" s="791"/>
    </row>
    <row r="377" spans="1:7">
      <c r="A377" s="815"/>
      <c r="B377" s="815"/>
      <c r="C377" s="815"/>
      <c r="D377" s="1924" t="s">
        <v>1319</v>
      </c>
      <c r="E377" s="1924"/>
      <c r="F377" s="1924"/>
      <c r="G377" s="791"/>
    </row>
    <row r="378" spans="1:7">
      <c r="A378" s="815"/>
      <c r="B378" s="815"/>
      <c r="C378" s="815"/>
      <c r="D378" s="1924"/>
      <c r="E378" s="1924"/>
      <c r="F378" s="1924"/>
      <c r="G378" s="791"/>
    </row>
    <row r="379" spans="1:7">
      <c r="A379" s="815"/>
      <c r="B379" s="815"/>
      <c r="C379" s="815"/>
      <c r="D379" s="1924"/>
      <c r="E379" s="1924"/>
      <c r="F379" s="1924"/>
      <c r="G379" s="791"/>
    </row>
    <row r="380" spans="1:7">
      <c r="A380" s="815"/>
      <c r="B380" s="815"/>
      <c r="C380" s="815"/>
      <c r="D380" s="1924"/>
      <c r="E380" s="1924"/>
      <c r="F380" s="1924"/>
      <c r="G380" s="791"/>
    </row>
    <row r="381" spans="1:7" ht="18" customHeight="1">
      <c r="A381" s="815"/>
      <c r="B381" s="815"/>
      <c r="C381" s="815"/>
      <c r="D381" s="1924"/>
      <c r="E381" s="1924"/>
      <c r="F381" s="1924"/>
      <c r="G381" s="791"/>
    </row>
    <row r="382" spans="1:7">
      <c r="A382" s="815"/>
      <c r="B382" s="815"/>
      <c r="C382" s="815"/>
      <c r="D382" s="1924"/>
      <c r="E382" s="1924"/>
      <c r="F382" s="1924"/>
      <c r="G382" s="791"/>
    </row>
    <row r="383" spans="1:7">
      <c r="A383" s="815"/>
      <c r="B383" s="815"/>
      <c r="C383" s="815"/>
      <c r="D383" s="1924"/>
      <c r="E383" s="1924"/>
      <c r="F383" s="1924"/>
      <c r="G383" s="791"/>
    </row>
    <row r="384" spans="1:7">
      <c r="A384" s="815"/>
      <c r="B384" s="815"/>
      <c r="C384" s="815"/>
      <c r="D384" s="1924"/>
      <c r="E384" s="1924"/>
      <c r="F384" s="1924"/>
      <c r="G384" s="791"/>
    </row>
    <row r="385" spans="1:7" ht="8.25" customHeight="1">
      <c r="A385" s="815"/>
      <c r="B385" s="815"/>
      <c r="C385" s="815"/>
      <c r="D385" s="1924"/>
      <c r="E385" s="1924"/>
      <c r="F385" s="1924"/>
      <c r="G385" s="791"/>
    </row>
    <row r="386" spans="1:7" ht="13.65" customHeight="1">
      <c r="A386" s="815"/>
      <c r="B386" s="815"/>
      <c r="C386" s="815"/>
      <c r="D386" s="1917" t="s">
        <v>1320</v>
      </c>
      <c r="E386" s="1917"/>
      <c r="F386" s="1917"/>
      <c r="G386" s="791"/>
    </row>
    <row r="387" spans="1:7">
      <c r="A387" s="815"/>
      <c r="B387" s="815"/>
      <c r="C387" s="815"/>
      <c r="D387" s="1917"/>
      <c r="E387" s="1917"/>
      <c r="F387" s="1917"/>
      <c r="G387" s="791"/>
    </row>
    <row r="388" spans="1:7">
      <c r="A388" s="815"/>
      <c r="B388" s="815"/>
      <c r="C388" s="815"/>
      <c r="D388" s="1917"/>
      <c r="E388" s="1917"/>
      <c r="F388" s="1917"/>
      <c r="G388" s="791"/>
    </row>
    <row r="389" spans="1:7">
      <c r="A389" s="815"/>
      <c r="B389" s="815"/>
      <c r="C389" s="815"/>
      <c r="D389" s="1917"/>
      <c r="E389" s="1917"/>
      <c r="F389" s="1917"/>
      <c r="G389" s="791"/>
    </row>
    <row r="390" spans="1:7">
      <c r="A390" s="815"/>
      <c r="B390" s="815"/>
      <c r="C390" s="815"/>
      <c r="D390" s="1917"/>
      <c r="E390" s="1917"/>
      <c r="F390" s="1917"/>
      <c r="G390" s="791"/>
    </row>
    <row r="391" spans="1:7">
      <c r="A391" s="815"/>
      <c r="B391" s="815"/>
      <c r="C391" s="815"/>
      <c r="D391" s="1917"/>
      <c r="E391" s="1917"/>
      <c r="F391" s="1917"/>
      <c r="G391" s="791"/>
    </row>
    <row r="392" spans="1:7">
      <c r="A392" s="815"/>
      <c r="B392" s="815"/>
      <c r="C392" s="815"/>
      <c r="D392" s="1917"/>
      <c r="E392" s="1917"/>
      <c r="F392" s="1917"/>
      <c r="G392" s="791"/>
    </row>
    <row r="393" spans="1:7">
      <c r="A393" s="815"/>
      <c r="B393" s="815"/>
      <c r="C393" s="815"/>
      <c r="D393" s="1917"/>
      <c r="E393" s="1917"/>
      <c r="F393" s="1917"/>
      <c r="G393" s="791"/>
    </row>
    <row r="394" spans="1:7">
      <c r="A394" s="815"/>
      <c r="B394" s="815"/>
      <c r="C394" s="815"/>
      <c r="D394" s="1917"/>
      <c r="E394" s="1917"/>
      <c r="F394" s="1917"/>
      <c r="G394" s="791"/>
    </row>
    <row r="395" spans="1:7">
      <c r="A395" s="815"/>
      <c r="B395" s="815"/>
      <c r="C395" s="815"/>
      <c r="D395" s="1917"/>
      <c r="E395" s="1917"/>
      <c r="F395" s="1917"/>
      <c r="G395" s="791"/>
    </row>
    <row r="396" spans="1:7">
      <c r="A396" s="815"/>
      <c r="B396" s="815"/>
      <c r="C396" s="815"/>
      <c r="D396" s="1917"/>
      <c r="E396" s="1917"/>
      <c r="F396" s="1917"/>
      <c r="G396" s="791"/>
    </row>
    <row r="397" spans="1:7">
      <c r="A397" s="815"/>
      <c r="B397" s="815"/>
      <c r="C397" s="815"/>
      <c r="D397" s="1917"/>
      <c r="E397" s="1917"/>
      <c r="F397" s="1917"/>
      <c r="G397" s="791"/>
    </row>
    <row r="398" spans="1:7">
      <c r="A398" s="815"/>
      <c r="B398" s="815"/>
      <c r="C398" s="828"/>
      <c r="D398" s="1917"/>
      <c r="E398" s="1917"/>
      <c r="F398" s="1917"/>
      <c r="G398" s="791"/>
    </row>
    <row r="399" spans="1:7">
      <c r="A399" s="815"/>
      <c r="B399" s="815"/>
      <c r="C399" s="828"/>
      <c r="D399" s="1917"/>
      <c r="E399" s="1917"/>
      <c r="F399" s="1917"/>
      <c r="G399" s="791"/>
    </row>
    <row r="400" spans="1:7">
      <c r="A400" s="815"/>
      <c r="B400" s="815"/>
      <c r="C400" s="815"/>
      <c r="D400" s="1917"/>
      <c r="E400" s="1917"/>
      <c r="F400" s="1917"/>
      <c r="G400" s="791"/>
    </row>
    <row r="401" spans="1:7">
      <c r="A401" s="815"/>
      <c r="B401" s="815"/>
      <c r="C401" s="828"/>
      <c r="D401" s="1917"/>
      <c r="E401" s="1917"/>
      <c r="F401" s="1917"/>
      <c r="G401" s="791"/>
    </row>
    <row r="402" spans="1:7">
      <c r="A402" s="815"/>
      <c r="B402" s="815"/>
      <c r="C402" s="828"/>
      <c r="D402" s="1917"/>
      <c r="E402" s="1917"/>
      <c r="F402" s="1917"/>
      <c r="G402" s="791"/>
    </row>
    <row r="403" spans="1:7">
      <c r="A403" s="815"/>
      <c r="B403" s="815"/>
      <c r="C403" s="828"/>
      <c r="D403" s="1917"/>
      <c r="E403" s="1917"/>
      <c r="F403" s="1917"/>
      <c r="G403" s="791"/>
    </row>
    <row r="404" spans="1:7">
      <c r="A404" s="815"/>
      <c r="B404" s="815"/>
      <c r="C404" s="815"/>
      <c r="D404" s="827"/>
      <c r="E404" s="787"/>
      <c r="F404" s="801"/>
      <c r="G404" s="791"/>
    </row>
    <row r="405" spans="1:7">
      <c r="A405" s="815"/>
      <c r="B405" s="1793" t="s">
        <v>2577</v>
      </c>
      <c r="C405" s="815"/>
      <c r="D405" s="1917" t="s">
        <v>1321</v>
      </c>
      <c r="E405" s="1917"/>
      <c r="F405" s="1917"/>
      <c r="G405" s="791"/>
    </row>
    <row r="406" spans="1:7">
      <c r="A406" s="815"/>
      <c r="B406" s="815"/>
      <c r="C406" s="815"/>
      <c r="D406" s="1917"/>
      <c r="E406" s="1917"/>
      <c r="F406" s="1917"/>
      <c r="G406" s="791"/>
    </row>
    <row r="407" spans="1:7">
      <c r="A407" s="815"/>
      <c r="B407" s="815"/>
      <c r="C407" s="815"/>
      <c r="D407" s="905"/>
      <c r="E407" s="905"/>
      <c r="F407" s="905"/>
      <c r="G407" s="791"/>
    </row>
    <row r="408" spans="1:7" ht="14.4" customHeight="1">
      <c r="A408" s="798"/>
      <c r="B408" s="1793" t="s">
        <v>2577</v>
      </c>
      <c r="D408" s="1917" t="s">
        <v>1538</v>
      </c>
      <c r="E408" s="1917"/>
      <c r="F408" s="1917"/>
    </row>
    <row r="409" spans="1:7" ht="14.4" customHeight="1">
      <c r="A409" s="798"/>
      <c r="D409" s="1917"/>
      <c r="E409" s="1917"/>
      <c r="F409" s="1917"/>
    </row>
    <row r="410" spans="1:7" ht="14.4" customHeight="1">
      <c r="A410" s="798"/>
      <c r="D410" s="1917"/>
      <c r="E410" s="1917"/>
      <c r="F410" s="1917"/>
    </row>
    <row r="411" spans="1:7" ht="14.4" customHeight="1">
      <c r="A411" s="798"/>
      <c r="D411" s="1917"/>
      <c r="E411" s="1917"/>
      <c r="F411" s="1917"/>
    </row>
    <row r="412" spans="1:7" ht="14.4" customHeight="1">
      <c r="A412" s="798"/>
      <c r="D412" s="1917"/>
      <c r="E412" s="1917"/>
      <c r="F412" s="1917"/>
    </row>
    <row r="413" spans="1:7" ht="14.4" customHeight="1">
      <c r="A413" s="798"/>
      <c r="D413" s="880"/>
      <c r="E413" s="880"/>
      <c r="F413" s="880"/>
    </row>
    <row r="414" spans="1:7" ht="13.65" customHeight="1">
      <c r="A414" s="798"/>
      <c r="B414" s="1793" t="s">
        <v>2577</v>
      </c>
      <c r="C414" s="815"/>
      <c r="D414" s="1905" t="s">
        <v>1466</v>
      </c>
      <c r="E414" s="1905"/>
      <c r="F414" s="1905"/>
      <c r="G414" s="791"/>
    </row>
    <row r="415" spans="1:7" ht="14.4">
      <c r="A415" s="829"/>
      <c r="B415" s="829"/>
      <c r="C415" s="815"/>
      <c r="D415" s="1905"/>
      <c r="E415" s="1905"/>
      <c r="F415" s="1905"/>
      <c r="G415" s="791"/>
    </row>
    <row r="416" spans="1:7" ht="14.4">
      <c r="A416" s="829"/>
      <c r="B416" s="829"/>
      <c r="C416" s="815"/>
      <c r="D416" s="1905"/>
      <c r="E416" s="1905"/>
      <c r="F416" s="1905"/>
      <c r="G416" s="791"/>
    </row>
    <row r="417" spans="1:7" ht="14.4">
      <c r="A417" s="829"/>
      <c r="B417" s="829"/>
      <c r="C417" s="815"/>
      <c r="D417" s="1905"/>
      <c r="E417" s="1905"/>
      <c r="F417" s="1905"/>
      <c r="G417" s="791"/>
    </row>
    <row r="418" spans="1:7" ht="15.75" customHeight="1">
      <c r="A418" s="829"/>
      <c r="B418" s="829"/>
      <c r="C418" s="815"/>
      <c r="D418" s="2515" t="s">
        <v>1517</v>
      </c>
      <c r="E418" s="1905"/>
      <c r="F418" s="1905"/>
      <c r="G418" s="791"/>
    </row>
    <row r="419" spans="1:7">
      <c r="D419" s="801"/>
      <c r="E419" s="801"/>
      <c r="F419" s="801"/>
      <c r="G419" s="791"/>
    </row>
    <row r="420" spans="1:7" ht="14.4">
      <c r="A420" s="798"/>
      <c r="B420" s="1793" t="s">
        <v>2577</v>
      </c>
      <c r="C420" s="830"/>
      <c r="D420" s="1909" t="s">
        <v>1323</v>
      </c>
      <c r="E420" s="1909"/>
      <c r="F420" s="1909"/>
      <c r="G420" s="791"/>
    </row>
    <row r="421" spans="1:7" ht="14.4">
      <c r="A421" s="798"/>
      <c r="B421" s="798"/>
      <c r="D421" s="1909"/>
      <c r="E421" s="1909"/>
      <c r="F421" s="1909"/>
      <c r="G421" s="791"/>
    </row>
    <row r="422" spans="1:7">
      <c r="D422" s="1909"/>
      <c r="E422" s="1909"/>
      <c r="F422" s="1909"/>
      <c r="G422" s="791"/>
    </row>
    <row r="423" spans="1:7">
      <c r="D423" s="1909"/>
      <c r="E423" s="1909"/>
      <c r="F423" s="1909"/>
      <c r="G423" s="791"/>
    </row>
    <row r="424" spans="1:7">
      <c r="D424" s="1909"/>
      <c r="E424" s="1909"/>
      <c r="F424" s="1909"/>
      <c r="G424" s="791"/>
    </row>
    <row r="425" spans="1:7">
      <c r="D425" s="1909"/>
      <c r="E425" s="1909"/>
      <c r="F425" s="1909"/>
      <c r="G425" s="791"/>
    </row>
    <row r="426" spans="1:7">
      <c r="D426" s="1909"/>
      <c r="E426" s="1909"/>
      <c r="F426" s="1909"/>
      <c r="G426" s="791"/>
    </row>
    <row r="427" spans="1:7">
      <c r="D427" s="1909"/>
      <c r="E427" s="1909"/>
      <c r="F427" s="1909"/>
      <c r="G427" s="791"/>
    </row>
    <row r="428" spans="1:7">
      <c r="D428" s="1909"/>
      <c r="E428" s="1909"/>
      <c r="F428" s="1909"/>
      <c r="G428" s="791"/>
    </row>
    <row r="429" spans="1:7">
      <c r="D429" s="1909"/>
      <c r="E429" s="1909"/>
      <c r="F429" s="1909"/>
      <c r="G429" s="791"/>
    </row>
    <row r="430" spans="1:7">
      <c r="D430" s="1909"/>
      <c r="E430" s="1909"/>
      <c r="F430" s="1909"/>
      <c r="G430" s="791"/>
    </row>
    <row r="431" spans="1:7">
      <c r="D431" s="1909"/>
      <c r="E431" s="1909"/>
      <c r="F431" s="1909"/>
      <c r="G431" s="791"/>
    </row>
    <row r="432" spans="1:7">
      <c r="D432" s="1909"/>
      <c r="E432" s="1909"/>
      <c r="F432" s="1909"/>
      <c r="G432" s="791"/>
    </row>
    <row r="433" spans="1:7">
      <c r="A433" s="791"/>
      <c r="B433" s="791"/>
      <c r="C433" s="791"/>
      <c r="D433" s="1909"/>
      <c r="E433" s="1909"/>
      <c r="F433" s="1909"/>
      <c r="G433" s="791"/>
    </row>
    <row r="434" spans="1:7">
      <c r="A434" s="791"/>
      <c r="B434" s="791"/>
      <c r="C434" s="791"/>
      <c r="D434" s="1909"/>
      <c r="E434" s="1909"/>
      <c r="F434" s="1909"/>
      <c r="G434" s="791"/>
    </row>
    <row r="435" spans="1:7">
      <c r="A435" s="791"/>
      <c r="B435" s="791"/>
      <c r="C435" s="791"/>
      <c r="D435" s="1909"/>
      <c r="E435" s="1909"/>
      <c r="F435" s="1909"/>
      <c r="G435" s="791"/>
    </row>
    <row r="436" spans="1:7">
      <c r="A436" s="791"/>
      <c r="B436" s="791"/>
      <c r="C436" s="791"/>
      <c r="D436" s="1909"/>
      <c r="E436" s="1909"/>
      <c r="F436" s="1909"/>
      <c r="G436" s="791"/>
    </row>
    <row r="437" spans="1:7">
      <c r="A437" s="791"/>
      <c r="B437" s="791"/>
      <c r="C437" s="791"/>
      <c r="D437" s="1909"/>
      <c r="E437" s="1909"/>
      <c r="F437" s="1909"/>
      <c r="G437" s="791"/>
    </row>
    <row r="438" spans="1:7">
      <c r="A438" s="791"/>
      <c r="B438" s="791"/>
      <c r="C438" s="791"/>
      <c r="D438" s="1909"/>
      <c r="E438" s="1909"/>
      <c r="F438" s="1909"/>
      <c r="G438" s="791"/>
    </row>
    <row r="439" spans="1:7">
      <c r="A439" s="791"/>
      <c r="B439" s="791"/>
      <c r="C439" s="791"/>
      <c r="D439" s="1909"/>
      <c r="E439" s="1909"/>
      <c r="F439" s="1909"/>
      <c r="G439" s="791"/>
    </row>
    <row r="440" spans="1:7">
      <c r="A440" s="791"/>
      <c r="B440" s="791"/>
      <c r="C440" s="791"/>
      <c r="D440" s="1909"/>
      <c r="E440" s="1909"/>
      <c r="F440" s="1909"/>
      <c r="G440" s="791"/>
    </row>
    <row r="441" spans="1:7">
      <c r="A441" s="791"/>
      <c r="B441" s="791"/>
      <c r="C441" s="791"/>
      <c r="D441" s="1909"/>
      <c r="E441" s="1909"/>
      <c r="F441" s="1909"/>
      <c r="G441" s="791"/>
    </row>
    <row r="442" spans="1:7">
      <c r="A442" s="791"/>
      <c r="B442" s="791"/>
      <c r="C442" s="791"/>
      <c r="D442" s="1909"/>
      <c r="E442" s="1909"/>
      <c r="F442" s="1909"/>
      <c r="G442" s="791"/>
    </row>
    <row r="443" spans="1:7">
      <c r="A443" s="791"/>
      <c r="B443" s="791"/>
      <c r="C443" s="791"/>
      <c r="D443" s="1909"/>
      <c r="E443" s="1909"/>
      <c r="F443" s="1909"/>
      <c r="G443" s="791"/>
    </row>
    <row r="444" spans="1:7">
      <c r="A444" s="791"/>
      <c r="B444" s="791"/>
      <c r="C444" s="791"/>
      <c r="D444" s="1909"/>
      <c r="E444" s="1909"/>
      <c r="F444" s="1909"/>
      <c r="G444" s="791"/>
    </row>
    <row r="445" spans="1:7">
      <c r="A445" s="791"/>
      <c r="B445" s="791"/>
      <c r="C445" s="791"/>
      <c r="D445" s="1909"/>
      <c r="E445" s="1909"/>
      <c r="F445" s="1909"/>
      <c r="G445" s="791"/>
    </row>
    <row r="446" spans="1:7">
      <c r="A446" s="791"/>
      <c r="B446" s="791"/>
      <c r="C446" s="791"/>
      <c r="D446" s="1909"/>
      <c r="E446" s="1909"/>
      <c r="F446" s="1909"/>
      <c r="G446" s="791"/>
    </row>
    <row r="447" spans="1:7">
      <c r="A447" s="791"/>
      <c r="B447" s="791"/>
      <c r="C447" s="791"/>
      <c r="D447" s="1909"/>
      <c r="E447" s="1909"/>
      <c r="F447" s="1909"/>
      <c r="G447" s="791"/>
    </row>
    <row r="448" spans="1:7">
      <c r="A448" s="791"/>
      <c r="B448" s="791"/>
      <c r="C448" s="791"/>
      <c r="D448" s="1909"/>
      <c r="E448" s="1909"/>
      <c r="F448" s="1909"/>
      <c r="G448" s="791"/>
    </row>
    <row r="449" spans="1:7" s="832" customFormat="1">
      <c r="A449" s="789"/>
      <c r="B449" s="789"/>
      <c r="C449" s="789"/>
      <c r="D449" s="1909"/>
      <c r="E449" s="1909"/>
      <c r="F449" s="1909"/>
      <c r="G449" s="831"/>
    </row>
    <row r="450" spans="1:7" s="832" customFormat="1" ht="40.65" customHeight="1">
      <c r="A450" s="789"/>
      <c r="B450" s="789"/>
      <c r="C450" s="789"/>
      <c r="D450" s="1909"/>
      <c r="E450" s="1909"/>
      <c r="F450" s="1909"/>
      <c r="G450" s="831"/>
    </row>
    <row r="451" spans="1:7" s="832" customFormat="1">
      <c r="A451" s="789"/>
      <c r="B451" s="789"/>
      <c r="C451" s="789"/>
      <c r="D451" s="801"/>
      <c r="E451" s="801"/>
      <c r="F451" s="801"/>
      <c r="G451" s="831"/>
    </row>
    <row r="452" spans="1:7" ht="14.4">
      <c r="A452" s="798"/>
      <c r="B452" s="1793" t="s">
        <v>2577</v>
      </c>
      <c r="C452" s="830"/>
      <c r="D452" s="1914" t="s">
        <v>1324</v>
      </c>
      <c r="E452" s="1914"/>
      <c r="F452" s="1914"/>
    </row>
    <row r="453" spans="1:7">
      <c r="D453" s="1918" t="s">
        <v>1463</v>
      </c>
      <c r="E453" s="1918"/>
      <c r="F453" s="1918"/>
    </row>
    <row r="454" spans="1:7">
      <c r="D454" s="2504" t="s">
        <v>1462</v>
      </c>
      <c r="E454" s="2504"/>
      <c r="F454" s="2504"/>
    </row>
    <row r="455" spans="1:7">
      <c r="D455" s="2504"/>
      <c r="E455" s="2504"/>
      <c r="F455" s="2504"/>
    </row>
    <row r="456" spans="1:7">
      <c r="D456" s="2504"/>
      <c r="E456" s="2504"/>
      <c r="F456" s="2504"/>
    </row>
    <row r="457" spans="1:7">
      <c r="D457" s="801"/>
      <c r="E457" s="801"/>
      <c r="F457" s="801"/>
      <c r="G457" s="791"/>
    </row>
    <row r="458" spans="1:7" ht="14.4">
      <c r="A458" s="798"/>
      <c r="B458" s="1793" t="s">
        <v>2577</v>
      </c>
      <c r="C458" s="830"/>
      <c r="D458" s="1909" t="s">
        <v>1326</v>
      </c>
      <c r="E458" s="1909"/>
      <c r="F458" s="1909"/>
      <c r="G458" s="791"/>
    </row>
    <row r="459" spans="1:7">
      <c r="D459" s="1909"/>
      <c r="E459" s="1909"/>
      <c r="F459" s="1909"/>
      <c r="G459" s="791"/>
    </row>
    <row r="460" spans="1:7">
      <c r="D460" s="1909"/>
      <c r="E460" s="1909"/>
      <c r="F460" s="1909"/>
      <c r="G460" s="791"/>
    </row>
    <row r="461" spans="1:7">
      <c r="D461" s="785"/>
      <c r="E461" s="785"/>
      <c r="F461" s="785"/>
      <c r="G461" s="791"/>
    </row>
    <row r="462" spans="1:7" ht="14.4">
      <c r="B462" s="1793" t="s">
        <v>2577</v>
      </c>
      <c r="C462" s="798"/>
      <c r="D462" s="2504" t="s">
        <v>1409</v>
      </c>
      <c r="E462" s="2504"/>
      <c r="F462" s="2504"/>
      <c r="G462" s="791"/>
    </row>
    <row r="463" spans="1:7">
      <c r="D463" s="2504"/>
      <c r="E463" s="2504"/>
      <c r="F463" s="2504"/>
      <c r="G463" s="791"/>
    </row>
    <row r="464" spans="1:7">
      <c r="D464" s="801"/>
      <c r="E464" s="801"/>
      <c r="F464" s="801"/>
      <c r="G464" s="791"/>
    </row>
    <row r="465" spans="1:7" ht="14.4">
      <c r="B465" s="1793" t="s">
        <v>2577</v>
      </c>
      <c r="C465" s="798"/>
      <c r="D465" s="2504" t="s">
        <v>1328</v>
      </c>
      <c r="E465" s="2504"/>
      <c r="F465" s="2504"/>
      <c r="G465" s="791"/>
    </row>
    <row r="466" spans="1:7">
      <c r="D466" s="2504"/>
      <c r="E466" s="2504"/>
      <c r="F466" s="2504"/>
      <c r="G466" s="791"/>
    </row>
    <row r="467" spans="1:7">
      <c r="D467" s="2504"/>
      <c r="E467" s="2504"/>
      <c r="F467" s="2504"/>
      <c r="G467" s="791"/>
    </row>
    <row r="468" spans="1:7">
      <c r="D468" s="2504"/>
      <c r="E468" s="2504"/>
      <c r="F468" s="2504"/>
      <c r="G468" s="791"/>
    </row>
    <row r="469" spans="1:7">
      <c r="B469" s="1793" t="s">
        <v>2577</v>
      </c>
      <c r="D469" s="2504"/>
      <c r="E469" s="2504"/>
      <c r="F469" s="2504"/>
      <c r="G469" s="791"/>
    </row>
    <row r="470" spans="1:7">
      <c r="A470" s="791"/>
      <c r="B470" s="791"/>
      <c r="C470" s="791"/>
      <c r="D470" s="2504"/>
      <c r="E470" s="2504"/>
      <c r="F470" s="2504"/>
      <c r="G470" s="791"/>
    </row>
    <row r="471" spans="1:7">
      <c r="A471" s="791"/>
      <c r="C471" s="791"/>
      <c r="D471" s="2504"/>
      <c r="E471" s="2504"/>
      <c r="F471" s="2504"/>
      <c r="G471" s="791"/>
    </row>
    <row r="472" spans="1:7">
      <c r="A472" s="791"/>
      <c r="B472" s="1793" t="s">
        <v>2577</v>
      </c>
      <c r="C472" s="791"/>
      <c r="D472" s="2504"/>
      <c r="E472" s="2504"/>
      <c r="F472" s="2504"/>
      <c r="G472" s="791"/>
    </row>
    <row r="473" spans="1:7">
      <c r="A473" s="791"/>
      <c r="B473" s="791"/>
      <c r="C473" s="791"/>
      <c r="D473" s="2504"/>
      <c r="E473" s="2504"/>
      <c r="F473" s="2504"/>
      <c r="G473" s="791"/>
    </row>
    <row r="474" spans="1:7">
      <c r="A474" s="791"/>
      <c r="C474" s="791"/>
      <c r="D474" s="2504"/>
      <c r="E474" s="2504"/>
      <c r="F474" s="2504"/>
      <c r="G474" s="791"/>
    </row>
    <row r="475" spans="1:7">
      <c r="A475" s="791"/>
      <c r="C475" s="791"/>
      <c r="D475" s="2504"/>
      <c r="E475" s="2504"/>
      <c r="F475" s="2504"/>
      <c r="G475" s="791"/>
    </row>
    <row r="476" spans="1:7">
      <c r="A476" s="791"/>
      <c r="B476" s="1793" t="s">
        <v>2577</v>
      </c>
      <c r="C476" s="791"/>
      <c r="D476" s="2504"/>
      <c r="E476" s="2504"/>
      <c r="F476" s="2504"/>
      <c r="G476" s="791"/>
    </row>
    <row r="477" spans="1:7">
      <c r="A477" s="791"/>
      <c r="B477" s="791"/>
      <c r="C477" s="791"/>
      <c r="D477" s="2504"/>
      <c r="E477" s="2504"/>
      <c r="F477" s="2504"/>
      <c r="G477" s="791"/>
    </row>
    <row r="478" spans="1:7">
      <c r="A478" s="791"/>
      <c r="B478" s="1793" t="s">
        <v>2577</v>
      </c>
      <c r="C478" s="791"/>
      <c r="D478" s="2504"/>
      <c r="E478" s="2504"/>
      <c r="F478" s="2504"/>
      <c r="G478" s="791"/>
    </row>
    <row r="479" spans="1:7">
      <c r="A479" s="791"/>
      <c r="B479" s="791"/>
      <c r="C479" s="791"/>
      <c r="D479" s="833"/>
      <c r="E479" s="833"/>
      <c r="F479" s="833"/>
      <c r="G479" s="791"/>
    </row>
    <row r="480" spans="1:7">
      <c r="A480" s="791"/>
      <c r="B480" s="1793" t="s">
        <v>2577</v>
      </c>
      <c r="C480" s="791"/>
      <c r="D480" s="2504" t="s">
        <v>1329</v>
      </c>
      <c r="E480" s="2504"/>
      <c r="F480" s="2504"/>
      <c r="G480" s="791"/>
    </row>
    <row r="481" spans="1:7">
      <c r="A481" s="791"/>
      <c r="B481" s="791"/>
      <c r="C481" s="791"/>
      <c r="D481" s="2504"/>
      <c r="E481" s="2504"/>
      <c r="F481" s="2504"/>
      <c r="G481" s="791"/>
    </row>
    <row r="482" spans="1:7">
      <c r="A482" s="791"/>
      <c r="B482" s="791"/>
      <c r="C482" s="791"/>
      <c r="D482" s="2504"/>
      <c r="E482" s="2504"/>
      <c r="F482" s="2504"/>
      <c r="G482" s="791"/>
    </row>
    <row r="483" spans="1:7">
      <c r="A483" s="791"/>
      <c r="B483" s="791"/>
      <c r="C483" s="791"/>
      <c r="D483" s="2504"/>
      <c r="E483" s="2504"/>
      <c r="F483" s="2504"/>
      <c r="G483" s="791"/>
    </row>
    <row r="484" spans="1:7">
      <c r="D484" s="2504"/>
      <c r="E484" s="2504"/>
      <c r="F484" s="2504"/>
    </row>
    <row r="485" spans="1:7">
      <c r="D485" s="801"/>
      <c r="E485" s="801"/>
      <c r="F485" s="801"/>
    </row>
    <row r="486" spans="1:7">
      <c r="B486" s="1793" t="s">
        <v>2577</v>
      </c>
      <c r="D486" s="2507" t="s">
        <v>1330</v>
      </c>
      <c r="E486" s="2507"/>
      <c r="F486" s="2507"/>
    </row>
    <row r="487" spans="1:7">
      <c r="A487" s="801"/>
      <c r="B487" s="801"/>
    </row>
    <row r="488" spans="1:7">
      <c r="A488" s="1874" t="s">
        <v>1171</v>
      </c>
      <c r="B488" s="1874"/>
      <c r="C488" s="1874"/>
      <c r="D488" s="1874"/>
      <c r="E488" s="1874"/>
      <c r="F488" s="1874"/>
      <c r="G488" s="1874"/>
    </row>
    <row r="489" spans="1:7">
      <c r="A489" s="801"/>
      <c r="B489" s="801"/>
    </row>
    <row r="490" spans="1:7">
      <c r="D490" s="1925" t="s">
        <v>951</v>
      </c>
      <c r="E490" s="1925"/>
      <c r="F490" s="1925"/>
    </row>
    <row r="491" spans="1:7" s="792" customFormat="1" ht="14.4">
      <c r="A491" s="806"/>
      <c r="B491" s="806"/>
      <c r="C491" s="802"/>
      <c r="D491" s="1926" t="s">
        <v>1331</v>
      </c>
      <c r="E491" s="1926"/>
      <c r="F491" s="1926"/>
      <c r="G491" s="803"/>
    </row>
    <row r="492" spans="1:7" s="792" customFormat="1" ht="14.4">
      <c r="A492" s="806"/>
      <c r="B492" s="806"/>
      <c r="C492" s="802"/>
      <c r="D492" s="788"/>
      <c r="E492" s="673"/>
      <c r="F492" s="673"/>
      <c r="G492" s="803"/>
    </row>
    <row r="493" spans="1:7" s="792" customFormat="1" ht="14.4">
      <c r="A493" s="798"/>
      <c r="B493" s="799" t="s">
        <v>2576</v>
      </c>
      <c r="C493" s="802"/>
      <c r="D493" s="1927" t="s">
        <v>1332</v>
      </c>
      <c r="E493" s="1927"/>
      <c r="F493" s="1927"/>
      <c r="G493" s="803"/>
    </row>
    <row r="494" spans="1:7" s="792" customFormat="1" ht="14.4">
      <c r="A494" s="798"/>
      <c r="B494" s="798"/>
      <c r="C494" s="802"/>
      <c r="D494" s="1927"/>
      <c r="E494" s="1927"/>
      <c r="F494" s="1927"/>
      <c r="G494" s="803"/>
    </row>
    <row r="495" spans="1:7" s="792" customFormat="1" ht="14.4">
      <c r="A495" s="798"/>
      <c r="B495" s="798"/>
      <c r="C495" s="802"/>
      <c r="D495" s="786"/>
      <c r="E495" s="673"/>
      <c r="F495" s="673"/>
      <c r="G495" s="803"/>
    </row>
    <row r="496" spans="1:7" ht="12.75" customHeight="1">
      <c r="B496" s="1793" t="s">
        <v>2576</v>
      </c>
      <c r="D496" s="1897" t="s">
        <v>1518</v>
      </c>
      <c r="E496" s="1897"/>
      <c r="F496" s="1897"/>
    </row>
    <row r="497" spans="1:7" ht="14.4">
      <c r="A497" s="798"/>
      <c r="D497" s="1897"/>
      <c r="E497" s="1897"/>
      <c r="F497" s="1897"/>
    </row>
    <row r="498" spans="1:7" ht="14.4">
      <c r="A498" s="798"/>
      <c r="B498" s="798"/>
      <c r="D498" s="1897"/>
      <c r="E498" s="1897"/>
      <c r="F498" s="1897"/>
    </row>
    <row r="499" spans="1:7" ht="14.4">
      <c r="A499" s="798"/>
      <c r="B499" s="798"/>
      <c r="D499" s="1897"/>
      <c r="E499" s="1897"/>
      <c r="F499" s="1897"/>
    </row>
    <row r="500" spans="1:7" ht="14.4">
      <c r="A500" s="798"/>
      <c r="D500" s="895"/>
      <c r="E500" s="895"/>
      <c r="F500" s="895"/>
      <c r="G500" s="791"/>
    </row>
    <row r="501" spans="1:7" ht="14.4">
      <c r="A501" s="798"/>
      <c r="B501" s="1793" t="s">
        <v>2576</v>
      </c>
      <c r="D501" s="1914" t="s">
        <v>1335</v>
      </c>
      <c r="E501" s="1914"/>
      <c r="F501" s="1914"/>
      <c r="G501" s="791"/>
    </row>
    <row r="502" spans="1:7" ht="14.4">
      <c r="A502" s="798"/>
      <c r="B502" s="798"/>
      <c r="D502" s="786"/>
      <c r="E502" s="673"/>
      <c r="F502" s="673"/>
      <c r="G502" s="791"/>
    </row>
    <row r="503" spans="1:7" ht="14.4">
      <c r="A503" s="798"/>
      <c r="B503" s="799" t="s">
        <v>2576</v>
      </c>
      <c r="D503" s="1909" t="s">
        <v>1336</v>
      </c>
      <c r="E503" s="1909"/>
      <c r="F503" s="1909"/>
      <c r="G503" s="791"/>
    </row>
    <row r="504" spans="1:7" ht="14.4">
      <c r="A504" s="798"/>
      <c r="D504" s="1909"/>
      <c r="E504" s="1909"/>
      <c r="F504" s="1909"/>
      <c r="G504" s="791"/>
    </row>
    <row r="505" spans="1:7">
      <c r="A505" s="817"/>
      <c r="B505" s="817"/>
      <c r="D505" s="734"/>
      <c r="E505" s="673"/>
      <c r="F505" s="673"/>
      <c r="G505" s="791"/>
    </row>
    <row r="506" spans="1:7">
      <c r="A506" s="817"/>
      <c r="B506" s="799" t="s">
        <v>2577</v>
      </c>
      <c r="D506" s="1914" t="s">
        <v>1337</v>
      </c>
      <c r="E506" s="1914"/>
      <c r="F506" s="1914"/>
      <c r="G506" s="791"/>
    </row>
    <row r="507" spans="1:7" ht="14.4">
      <c r="A507" s="798"/>
      <c r="B507" s="798"/>
      <c r="D507" s="801"/>
    </row>
    <row r="508" spans="1:7">
      <c r="A508" s="1874" t="s">
        <v>1172</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2509" t="s">
        <v>854</v>
      </c>
      <c r="E510" s="2509"/>
      <c r="F510" s="2509"/>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65" customHeight="1">
      <c r="A514" s="796"/>
      <c r="B514" s="799" t="s">
        <v>2576</v>
      </c>
      <c r="C514" s="800"/>
      <c r="D514" s="1908" t="s">
        <v>2281</v>
      </c>
      <c r="E514" s="1908"/>
      <c r="F514" s="1908"/>
      <c r="G514" s="673"/>
    </row>
    <row r="515" spans="1:7" s="723" customFormat="1">
      <c r="A515" s="796"/>
      <c r="B515" s="796"/>
      <c r="C515" s="800"/>
      <c r="D515" s="1908"/>
      <c r="E515" s="1908"/>
      <c r="F515" s="1908"/>
      <c r="G515" s="673"/>
    </row>
    <row r="516" spans="1:7" s="723" customFormat="1">
      <c r="A516" s="796"/>
      <c r="B516" s="796"/>
      <c r="C516" s="800"/>
      <c r="D516" s="1712"/>
      <c r="E516" s="1712"/>
      <c r="F516" s="1712"/>
      <c r="G516" s="673"/>
    </row>
    <row r="517" spans="1:7" s="723" customFormat="1">
      <c r="A517" s="796"/>
      <c r="B517" s="799" t="s">
        <v>2577</v>
      </c>
      <c r="C517" s="805"/>
      <c r="D517" s="1908" t="s">
        <v>1210</v>
      </c>
      <c r="E517" s="1908"/>
      <c r="F517" s="1908"/>
      <c r="G517" s="673"/>
    </row>
    <row r="518" spans="1:7" s="723" customFormat="1">
      <c r="A518" s="796"/>
      <c r="B518" s="796"/>
      <c r="C518" s="805"/>
      <c r="D518" s="1908"/>
      <c r="E518" s="1908"/>
      <c r="F518" s="1908"/>
      <c r="G518" s="673"/>
    </row>
    <row r="519" spans="1:7" s="723" customFormat="1">
      <c r="A519" s="796"/>
      <c r="B519" s="796"/>
      <c r="C519" s="800"/>
      <c r="D519" s="1908"/>
      <c r="E519" s="1908"/>
      <c r="F519" s="1908"/>
      <c r="G519" s="673"/>
    </row>
    <row r="520" spans="1:7" s="723" customFormat="1">
      <c r="A520" s="796"/>
      <c r="B520" s="796"/>
      <c r="C520" s="800"/>
      <c r="D520" s="835"/>
      <c r="E520" s="673"/>
      <c r="F520" s="786"/>
      <c r="G520" s="673"/>
    </row>
    <row r="521" spans="1:7" s="723" customFormat="1" ht="13.2" customHeight="1">
      <c r="A521" s="796"/>
      <c r="B521" s="799" t="s">
        <v>2577</v>
      </c>
      <c r="C521" s="800"/>
      <c r="D521" s="2511" t="s">
        <v>1236</v>
      </c>
      <c r="E521" s="2511"/>
      <c r="F521" s="2511"/>
      <c r="G521" s="673"/>
    </row>
    <row r="522" spans="1:7" s="723" customFormat="1">
      <c r="A522" s="796"/>
      <c r="B522" s="796"/>
      <c r="C522" s="800"/>
      <c r="D522" s="2511"/>
      <c r="E522" s="2511"/>
      <c r="F522" s="2511"/>
      <c r="G522" s="673"/>
    </row>
    <row r="523" spans="1:7" s="723" customFormat="1" ht="12" customHeight="1">
      <c r="A523" s="801"/>
      <c r="B523" s="801"/>
      <c r="C523" s="809"/>
      <c r="D523" s="801"/>
      <c r="E523" s="673"/>
      <c r="F523" s="837"/>
      <c r="G523" s="673"/>
    </row>
    <row r="524" spans="1:7">
      <c r="A524" s="1874" t="s">
        <v>1173</v>
      </c>
      <c r="B524" s="1874"/>
      <c r="C524" s="1874"/>
      <c r="D524" s="1874"/>
      <c r="E524" s="1874"/>
      <c r="F524" s="1874"/>
      <c r="G524" s="1874"/>
    </row>
    <row r="525" spans="1:7">
      <c r="A525" s="801"/>
      <c r="B525" s="801"/>
      <c r="C525" s="830"/>
      <c r="F525" s="838"/>
    </row>
    <row r="526" spans="1:7">
      <c r="B526" s="2505" t="s">
        <v>471</v>
      </c>
      <c r="C526" s="2505"/>
      <c r="D526" s="2505"/>
      <c r="E526" s="2505"/>
      <c r="F526" s="2505"/>
    </row>
    <row r="527" spans="1:7">
      <c r="A527" s="801"/>
      <c r="B527" s="801"/>
      <c r="C527" s="830"/>
      <c r="D527" s="801"/>
      <c r="F527" s="801"/>
    </row>
    <row r="528" spans="1:7">
      <c r="A528" s="1875" t="s">
        <v>1174</v>
      </c>
      <c r="B528" s="1875"/>
      <c r="C528" s="1875"/>
      <c r="D528" s="1875"/>
      <c r="E528" s="1875"/>
      <c r="F528" s="1875"/>
      <c r="G528" s="1875"/>
    </row>
    <row r="529" spans="1:7">
      <c r="A529" s="801"/>
      <c r="B529" s="801"/>
      <c r="C529" s="830"/>
      <c r="D529" s="801"/>
      <c r="F529" s="801"/>
    </row>
    <row r="530" spans="1:7">
      <c r="C530" s="830"/>
      <c r="D530" s="1864" t="s">
        <v>721</v>
      </c>
      <c r="E530" s="1864"/>
      <c r="F530" s="1864"/>
    </row>
    <row r="531" spans="1:7">
      <c r="C531" s="830"/>
      <c r="D531" s="1914" t="s">
        <v>1231</v>
      </c>
      <c r="E531" s="1914"/>
      <c r="F531" s="1914"/>
    </row>
    <row r="532" spans="1:7">
      <c r="C532" s="830"/>
      <c r="D532" s="786"/>
      <c r="E532" s="786"/>
      <c r="F532" s="786"/>
    </row>
    <row r="533" spans="1:7" ht="13.65" customHeight="1">
      <c r="A533" s="798"/>
      <c r="B533" s="799" t="s">
        <v>2576</v>
      </c>
      <c r="C533" s="830"/>
      <c r="D533" s="1914" t="s">
        <v>952</v>
      </c>
      <c r="E533" s="1914"/>
      <c r="F533" s="1914"/>
      <c r="G533" s="791"/>
    </row>
    <row r="534" spans="1:7" ht="13.65" customHeight="1">
      <c r="A534" s="830"/>
      <c r="B534" s="830"/>
      <c r="C534" s="830"/>
      <c r="D534" s="786"/>
      <c r="E534" s="619"/>
      <c r="F534" s="619"/>
      <c r="G534" s="791"/>
    </row>
    <row r="535" spans="1:7" ht="14.4">
      <c r="A535" s="798"/>
      <c r="B535" s="1793" t="s">
        <v>2576</v>
      </c>
      <c r="C535" s="830"/>
      <c r="D535" s="1909" t="s">
        <v>1232</v>
      </c>
      <c r="E535" s="1909"/>
      <c r="F535" s="1909"/>
      <c r="G535" s="791"/>
    </row>
    <row r="536" spans="1:7">
      <c r="A536" s="830"/>
      <c r="B536" s="830"/>
      <c r="C536" s="830"/>
      <c r="D536" s="1909"/>
      <c r="E536" s="1909"/>
      <c r="F536" s="1909"/>
      <c r="G536" s="791"/>
    </row>
    <row r="537" spans="1:7">
      <c r="A537" s="830"/>
      <c r="B537" s="830"/>
      <c r="C537" s="830"/>
      <c r="D537" s="801"/>
      <c r="E537" s="801"/>
      <c r="F537" s="801"/>
      <c r="G537" s="791"/>
    </row>
    <row r="538" spans="1:7" ht="14.4">
      <c r="A538" s="798"/>
      <c r="B538" s="1793" t="s">
        <v>2576</v>
      </c>
      <c r="C538" s="830"/>
      <c r="D538" s="1909" t="s">
        <v>1233</v>
      </c>
      <c r="E538" s="1909"/>
      <c r="F538" s="1909"/>
      <c r="G538" s="791"/>
    </row>
    <row r="539" spans="1:7">
      <c r="A539" s="830"/>
      <c r="B539" s="830"/>
      <c r="C539" s="830"/>
      <c r="D539" s="1909"/>
      <c r="E539" s="1909"/>
      <c r="F539" s="1909"/>
      <c r="G539" s="791"/>
    </row>
    <row r="540" spans="1:7">
      <c r="A540" s="830"/>
      <c r="B540" s="830"/>
      <c r="C540" s="830"/>
      <c r="D540" s="801"/>
      <c r="E540" s="801"/>
      <c r="F540" s="801"/>
      <c r="G540" s="791"/>
    </row>
    <row r="541" spans="1:7" ht="14.4">
      <c r="A541" s="798"/>
      <c r="B541" s="1793" t="s">
        <v>2576</v>
      </c>
      <c r="C541" s="830"/>
      <c r="D541" s="1909" t="s">
        <v>1234</v>
      </c>
      <c r="E541" s="1909"/>
      <c r="F541" s="1909"/>
      <c r="G541" s="791"/>
    </row>
    <row r="542" spans="1:7">
      <c r="A542" s="830"/>
      <c r="B542" s="830"/>
      <c r="C542" s="830"/>
      <c r="D542" s="1909"/>
      <c r="E542" s="1909"/>
      <c r="F542" s="1909"/>
      <c r="G542" s="791"/>
    </row>
    <row r="543" spans="1:7">
      <c r="A543" s="830"/>
      <c r="B543" s="830"/>
      <c r="C543" s="830"/>
      <c r="D543" s="801"/>
      <c r="E543" s="801"/>
      <c r="F543" s="801"/>
      <c r="G543" s="791"/>
    </row>
    <row r="544" spans="1:7" ht="14.4">
      <c r="A544" s="798"/>
      <c r="B544" s="1793" t="s">
        <v>2576</v>
      </c>
      <c r="C544" s="830"/>
      <c r="D544" s="1909" t="s">
        <v>1235</v>
      </c>
      <c r="E544" s="1909"/>
      <c r="F544" s="1909"/>
      <c r="G544" s="791"/>
    </row>
    <row r="545" spans="1:7">
      <c r="A545" s="830"/>
      <c r="B545" s="830"/>
      <c r="C545" s="830"/>
      <c r="D545" s="1909"/>
      <c r="E545" s="1909"/>
      <c r="F545" s="1909"/>
      <c r="G545" s="791"/>
    </row>
    <row r="546" spans="1:7">
      <c r="A546" s="830"/>
      <c r="B546" s="830"/>
      <c r="C546" s="830"/>
      <c r="D546" s="1909"/>
      <c r="E546" s="1909"/>
      <c r="F546" s="1909"/>
      <c r="G546" s="791"/>
    </row>
    <row r="547" spans="1:7">
      <c r="A547" s="830"/>
      <c r="B547" s="830"/>
      <c r="C547" s="830"/>
      <c r="D547" s="801"/>
      <c r="E547" s="801"/>
      <c r="F547" s="801"/>
    </row>
    <row r="548" spans="1:7" ht="14.4">
      <c r="A548" s="798"/>
      <c r="B548" s="799" t="s">
        <v>2577</v>
      </c>
      <c r="C548" s="830"/>
      <c r="D548" s="2511" t="s">
        <v>1353</v>
      </c>
      <c r="E548" s="2511"/>
      <c r="F548" s="2511"/>
    </row>
    <row r="549" spans="1:7">
      <c r="A549" s="830"/>
      <c r="B549" s="830"/>
      <c r="C549" s="830"/>
      <c r="D549" s="2511"/>
      <c r="E549" s="2511"/>
      <c r="F549" s="2511"/>
    </row>
    <row r="550" spans="1:7">
      <c r="A550" s="830"/>
      <c r="B550" s="830"/>
      <c r="C550" s="830"/>
      <c r="D550" s="801"/>
      <c r="E550" s="801"/>
      <c r="F550" s="801"/>
    </row>
    <row r="551" spans="1:7" ht="14.4">
      <c r="A551" s="798"/>
      <c r="B551" s="799" t="s">
        <v>2577</v>
      </c>
      <c r="C551" s="830"/>
      <c r="D551" s="1909" t="s">
        <v>1237</v>
      </c>
      <c r="E551" s="1909"/>
      <c r="F551" s="1909"/>
    </row>
    <row r="552" spans="1:7">
      <c r="A552" s="830"/>
      <c r="B552" s="830"/>
      <c r="C552" s="830"/>
      <c r="D552" s="1909"/>
      <c r="E552" s="1909"/>
      <c r="F552" s="1909"/>
      <c r="G552" s="820"/>
    </row>
    <row r="553" spans="1:7">
      <c r="A553" s="830"/>
      <c r="B553" s="830"/>
      <c r="C553" s="830"/>
      <c r="D553" s="801"/>
      <c r="E553" s="801"/>
      <c r="F553" s="801"/>
      <c r="G553" s="820"/>
    </row>
    <row r="554" spans="1:7" ht="14.4">
      <c r="A554" s="798"/>
      <c r="B554" s="1793" t="s">
        <v>2576</v>
      </c>
      <c r="C554" s="830"/>
      <c r="D554" s="1914" t="s">
        <v>1238</v>
      </c>
      <c r="E554" s="1914"/>
      <c r="F554" s="1914"/>
      <c r="G554" s="820"/>
    </row>
    <row r="555" spans="1:7">
      <c r="A555" s="817"/>
      <c r="B555" s="817"/>
      <c r="C555" s="830"/>
      <c r="D555" s="1914" t="s">
        <v>884</v>
      </c>
      <c r="E555" s="1914"/>
      <c r="F555" s="1914"/>
      <c r="G555" s="820"/>
    </row>
    <row r="556" spans="1:7">
      <c r="A556" s="817"/>
      <c r="B556" s="817"/>
      <c r="C556" s="830"/>
      <c r="D556" s="673"/>
      <c r="E556" s="2517" t="s">
        <v>1239</v>
      </c>
      <c r="F556" s="2517"/>
      <c r="G556" s="820"/>
    </row>
    <row r="557" spans="1:7" ht="14.4">
      <c r="A557" s="798"/>
      <c r="B557" s="798"/>
      <c r="C557" s="830"/>
      <c r="E557" s="801"/>
      <c r="F557" s="801"/>
      <c r="G557" s="820"/>
    </row>
    <row r="558" spans="1:7" ht="14.4">
      <c r="A558" s="798"/>
      <c r="B558" s="1793" t="s">
        <v>2576</v>
      </c>
      <c r="C558" s="830"/>
      <c r="D558" s="2516" t="s">
        <v>1240</v>
      </c>
      <c r="E558" s="2516"/>
      <c r="F558" s="2516"/>
      <c r="G558" s="820"/>
    </row>
    <row r="559" spans="1:7">
      <c r="C559" s="830"/>
      <c r="D559" s="1909" t="s">
        <v>1241</v>
      </c>
      <c r="E559" s="1909"/>
      <c r="F559" s="1909"/>
      <c r="G559" s="820"/>
    </row>
    <row r="560" spans="1:7">
      <c r="A560" s="830"/>
      <c r="B560" s="830"/>
      <c r="C560" s="830"/>
      <c r="D560" s="1909"/>
      <c r="E560" s="1909"/>
      <c r="F560" s="1909"/>
      <c r="G560" s="820"/>
    </row>
    <row r="561" spans="1:7">
      <c r="A561" s="830"/>
      <c r="B561" s="830"/>
      <c r="C561" s="830"/>
      <c r="D561" s="1909"/>
      <c r="E561" s="1909"/>
      <c r="F561" s="1909"/>
      <c r="G561" s="820"/>
    </row>
    <row r="562" spans="1:7">
      <c r="A562" s="830"/>
      <c r="B562" s="830"/>
      <c r="C562" s="830"/>
      <c r="D562" s="801"/>
      <c r="E562" s="801"/>
      <c r="F562" s="801"/>
      <c r="G562" s="820"/>
    </row>
    <row r="563" spans="1:7" ht="14.4">
      <c r="A563" s="798"/>
      <c r="B563" s="1793" t="s">
        <v>2576</v>
      </c>
      <c r="C563" s="830"/>
      <c r="D563" s="1909" t="s">
        <v>1242</v>
      </c>
      <c r="E563" s="1909"/>
      <c r="F563" s="1909"/>
      <c r="G563" s="820"/>
    </row>
    <row r="564" spans="1:7" ht="14.4">
      <c r="A564" s="798"/>
      <c r="B564" s="798"/>
      <c r="C564" s="830"/>
      <c r="D564" s="1909"/>
      <c r="E564" s="1909"/>
      <c r="F564" s="1909"/>
      <c r="G564" s="820"/>
    </row>
    <row r="565" spans="1:7" ht="14.4">
      <c r="A565" s="798"/>
      <c r="B565" s="798"/>
      <c r="C565" s="830"/>
      <c r="D565" s="1909"/>
      <c r="E565" s="1909"/>
      <c r="F565" s="1909"/>
      <c r="G565" s="820"/>
    </row>
    <row r="566" spans="1:7" ht="14.4">
      <c r="A566" s="798"/>
      <c r="B566" s="798"/>
      <c r="C566" s="830"/>
      <c r="D566" s="1909"/>
      <c r="E566" s="1909"/>
      <c r="F566" s="1909"/>
      <c r="G566" s="820"/>
    </row>
    <row r="567" spans="1:7" ht="14.4">
      <c r="A567" s="798"/>
      <c r="B567" s="798"/>
      <c r="C567" s="830"/>
      <c r="D567" s="801"/>
      <c r="E567" s="801"/>
      <c r="F567" s="801"/>
      <c r="G567" s="820"/>
    </row>
    <row r="568" spans="1:7">
      <c r="A568" s="1874" t="s">
        <v>1175</v>
      </c>
      <c r="B568" s="1874"/>
      <c r="C568" s="1874"/>
      <c r="D568" s="1874"/>
      <c r="E568" s="1874"/>
      <c r="F568" s="1874"/>
      <c r="G568" s="1874"/>
    </row>
    <row r="569" spans="1:7">
      <c r="A569" s="830"/>
      <c r="B569" s="830"/>
      <c r="C569" s="830"/>
      <c r="E569" s="801"/>
      <c r="F569" s="801"/>
      <c r="G569" s="820"/>
    </row>
    <row r="570" spans="1:7" ht="12.75" customHeight="1">
      <c r="C570" s="794"/>
      <c r="D570" s="2506" t="s">
        <v>217</v>
      </c>
      <c r="E570" s="2506"/>
      <c r="F570" s="2506"/>
      <c r="G570" s="820"/>
    </row>
    <row r="571" spans="1:7">
      <c r="A571" s="796"/>
      <c r="B571" s="796"/>
      <c r="C571" s="796"/>
      <c r="D571" s="1896" t="s">
        <v>1191</v>
      </c>
      <c r="E571" s="1896"/>
      <c r="F571" s="1896"/>
      <c r="G571" s="820"/>
    </row>
    <row r="572" spans="1:7">
      <c r="A572" s="791"/>
      <c r="B572" s="791"/>
      <c r="C572" s="796"/>
      <c r="D572" s="839"/>
      <c r="G572" s="820"/>
    </row>
    <row r="573" spans="1:7">
      <c r="A573" s="796"/>
      <c r="B573" s="1793" t="s">
        <v>2576</v>
      </c>
      <c r="D573" s="1896" t="s">
        <v>958</v>
      </c>
      <c r="E573" s="1896"/>
      <c r="F573" s="1896"/>
      <c r="G573" s="820"/>
    </row>
    <row r="574" spans="1:7">
      <c r="A574" s="817"/>
      <c r="B574" s="817"/>
      <c r="D574" s="815"/>
    </row>
    <row r="575" spans="1:7">
      <c r="A575" s="817"/>
      <c r="B575" s="1793" t="s">
        <v>2576</v>
      </c>
      <c r="D575" s="1897" t="s">
        <v>1192</v>
      </c>
      <c r="E575" s="1897"/>
      <c r="F575" s="1897"/>
    </row>
    <row r="576" spans="1:7">
      <c r="A576" s="817"/>
      <c r="B576" s="817"/>
      <c r="D576" s="1897"/>
      <c r="E576" s="1897"/>
      <c r="F576" s="1897"/>
      <c r="G576" s="791"/>
    </row>
    <row r="577" spans="1:7">
      <c r="A577" s="817"/>
      <c r="B577" s="817"/>
      <c r="D577" s="1897"/>
      <c r="E577" s="1897"/>
      <c r="F577" s="1897"/>
      <c r="G577" s="791"/>
    </row>
    <row r="578" spans="1:7">
      <c r="A578" s="817"/>
      <c r="B578" s="817"/>
      <c r="D578" s="1897"/>
      <c r="E578" s="1897"/>
      <c r="F578" s="1897"/>
      <c r="G578" s="791"/>
    </row>
    <row r="579" spans="1:7">
      <c r="A579" s="817"/>
      <c r="B579" s="799" t="s">
        <v>2577</v>
      </c>
      <c r="D579" s="1897" t="s">
        <v>1193</v>
      </c>
      <c r="E579" s="1897"/>
      <c r="F579" s="1897"/>
      <c r="G579" s="791"/>
    </row>
    <row r="580" spans="1:7">
      <c r="A580" s="817"/>
      <c r="B580" s="817"/>
      <c r="D580" s="1897"/>
      <c r="E580" s="1897"/>
      <c r="F580" s="1897"/>
      <c r="G580" s="791"/>
    </row>
    <row r="581" spans="1:7">
      <c r="A581" s="817"/>
      <c r="B581" s="817"/>
      <c r="D581" s="1897"/>
      <c r="E581" s="1897"/>
      <c r="F581" s="1897"/>
      <c r="G581" s="791"/>
    </row>
    <row r="582" spans="1:7">
      <c r="A582" s="817"/>
      <c r="B582" s="817"/>
      <c r="D582" s="1897"/>
      <c r="E582" s="1897"/>
      <c r="F582" s="1897"/>
      <c r="G582" s="791"/>
    </row>
    <row r="583" spans="1:7">
      <c r="A583" s="817"/>
      <c r="B583" s="817"/>
      <c r="D583" s="784"/>
      <c r="E583" s="784"/>
      <c r="F583" s="784"/>
      <c r="G583" s="791"/>
    </row>
    <row r="584" spans="1:7">
      <c r="A584" s="817"/>
      <c r="B584" s="1793" t="s">
        <v>2576</v>
      </c>
      <c r="D584" s="1897" t="s">
        <v>1194</v>
      </c>
      <c r="E584" s="1897"/>
      <c r="F584" s="1897"/>
      <c r="G584" s="791"/>
    </row>
    <row r="585" spans="1:7">
      <c r="A585" s="817"/>
      <c r="B585" s="817"/>
      <c r="D585" s="1897"/>
      <c r="E585" s="1897"/>
      <c r="F585" s="1897"/>
      <c r="G585" s="791"/>
    </row>
    <row r="586" spans="1:7">
      <c r="A586" s="817"/>
      <c r="B586" s="817"/>
      <c r="D586" s="839"/>
      <c r="G586" s="791"/>
    </row>
    <row r="587" spans="1:7">
      <c r="A587" s="817"/>
      <c r="B587" s="799" t="s">
        <v>2577</v>
      </c>
      <c r="D587" s="1896" t="s">
        <v>1195</v>
      </c>
      <c r="E587" s="1896"/>
      <c r="F587" s="1896"/>
      <c r="G587" s="791"/>
    </row>
    <row r="588" spans="1:7">
      <c r="A588" s="817"/>
      <c r="B588" s="817"/>
      <c r="D588" s="1896"/>
      <c r="E588" s="1896"/>
      <c r="F588" s="1896"/>
      <c r="G588" s="791"/>
    </row>
    <row r="589" spans="1:7">
      <c r="A589" s="817"/>
      <c r="B589" s="817"/>
      <c r="D589" s="839"/>
      <c r="G589" s="791"/>
    </row>
    <row r="590" spans="1:7" ht="14.4">
      <c r="A590" s="798"/>
      <c r="B590" s="1793" t="s">
        <v>2576</v>
      </c>
      <c r="D590" s="1896" t="s">
        <v>953</v>
      </c>
      <c r="E590" s="1896"/>
      <c r="F590" s="1896"/>
      <c r="G590" s="791"/>
    </row>
    <row r="591" spans="1:7" ht="14.4">
      <c r="A591" s="798"/>
      <c r="B591" s="798"/>
      <c r="D591" s="839"/>
      <c r="G591" s="791"/>
    </row>
    <row r="592" spans="1:7">
      <c r="A592" s="1874" t="s">
        <v>1176</v>
      </c>
      <c r="B592" s="1874"/>
      <c r="C592" s="1874"/>
      <c r="D592" s="1874"/>
      <c r="E592" s="1874"/>
      <c r="F592" s="1874"/>
      <c r="G592" s="1874"/>
    </row>
    <row r="593" spans="1:7"/>
    <row r="594" spans="1:7">
      <c r="D594" s="1864" t="s">
        <v>1276</v>
      </c>
      <c r="E594" s="1864"/>
      <c r="F594" s="1864"/>
    </row>
    <row r="595" spans="1:7">
      <c r="D595" s="1865" t="s">
        <v>1277</v>
      </c>
      <c r="E595" s="1865"/>
      <c r="F595" s="1865"/>
    </row>
    <row r="596" spans="1:7">
      <c r="D596" s="781"/>
      <c r="E596" s="723"/>
      <c r="F596" s="723"/>
    </row>
    <row r="597" spans="1:7" s="792" customFormat="1" ht="14.4">
      <c r="A597" s="806"/>
      <c r="B597" s="799" t="s">
        <v>2576</v>
      </c>
      <c r="C597" s="802"/>
      <c r="D597" s="1866" t="s">
        <v>1278</v>
      </c>
      <c r="E597" s="1866"/>
      <c r="F597" s="1866"/>
      <c r="G597" s="803"/>
    </row>
    <row r="598" spans="1:7">
      <c r="D598" s="1866"/>
      <c r="E598" s="1866"/>
      <c r="F598" s="1866"/>
    </row>
    <row r="599" spans="1:7">
      <c r="D599" s="1866"/>
      <c r="E599" s="1866"/>
      <c r="F599" s="1866"/>
    </row>
    <row r="600" spans="1:7"/>
    <row r="601" spans="1:7">
      <c r="A601" s="1874" t="s">
        <v>1177</v>
      </c>
      <c r="B601" s="1874"/>
      <c r="C601" s="1874"/>
      <c r="D601" s="1874"/>
      <c r="E601" s="1874"/>
      <c r="F601" s="1874"/>
      <c r="G601" s="1874"/>
    </row>
    <row r="602" spans="1:7">
      <c r="A602" s="801"/>
      <c r="B602" s="801"/>
      <c r="G602" s="820"/>
    </row>
    <row r="603" spans="1:7">
      <c r="A603" s="840"/>
      <c r="B603" s="840"/>
      <c r="C603" s="794"/>
      <c r="D603" s="1867" t="s">
        <v>1279</v>
      </c>
      <c r="E603" s="1867"/>
      <c r="F603" s="1867"/>
      <c r="G603" s="820"/>
    </row>
    <row r="604" spans="1:7">
      <c r="A604" s="840"/>
      <c r="B604" s="840"/>
      <c r="C604" s="794"/>
      <c r="D604" s="1867"/>
      <c r="E604" s="1867"/>
      <c r="F604" s="1867"/>
      <c r="G604" s="820"/>
    </row>
    <row r="605" spans="1:7">
      <c r="C605" s="796"/>
      <c r="D605" s="1865" t="s">
        <v>1280</v>
      </c>
      <c r="E605" s="1865"/>
      <c r="F605" s="1865"/>
      <c r="G605" s="820"/>
    </row>
    <row r="606" spans="1:7">
      <c r="C606" s="796"/>
      <c r="D606" s="781"/>
      <c r="E606" s="781"/>
      <c r="F606" s="781"/>
      <c r="G606" s="820"/>
    </row>
    <row r="607" spans="1:7">
      <c r="A607" s="817"/>
      <c r="B607" s="1793" t="s">
        <v>2576</v>
      </c>
      <c r="D607" s="1865" t="s">
        <v>455</v>
      </c>
      <c r="E607" s="1865"/>
      <c r="F607" s="1865"/>
      <c r="G607" s="820"/>
    </row>
    <row r="608" spans="1:7">
      <c r="C608" s="841"/>
      <c r="E608" s="791"/>
      <c r="G608" s="820"/>
    </row>
    <row r="609" spans="1:7">
      <c r="A609" s="817"/>
      <c r="B609" s="1793" t="s">
        <v>2576</v>
      </c>
      <c r="D609" s="1868" t="s">
        <v>1281</v>
      </c>
      <c r="E609" s="1868"/>
      <c r="F609" s="1868"/>
      <c r="G609" s="820"/>
    </row>
    <row r="610" spans="1:7">
      <c r="D610" s="1868"/>
      <c r="E610" s="1868"/>
      <c r="F610" s="1868"/>
      <c r="G610" s="820"/>
    </row>
    <row r="611" spans="1:7">
      <c r="D611" s="791"/>
      <c r="G611" s="820"/>
    </row>
    <row r="612" spans="1:7">
      <c r="B612" s="1793" t="s">
        <v>2576</v>
      </c>
      <c r="D612" s="1868" t="s">
        <v>1282</v>
      </c>
      <c r="E612" s="1868"/>
      <c r="F612" s="1868"/>
      <c r="G612" s="820"/>
    </row>
    <row r="613" spans="1:7">
      <c r="C613" s="841"/>
      <c r="D613" s="1868"/>
      <c r="E613" s="1868"/>
      <c r="F613" s="1868"/>
      <c r="G613" s="820"/>
    </row>
    <row r="614" spans="1:7">
      <c r="C614" s="841"/>
      <c r="G614" s="820"/>
    </row>
    <row r="615" spans="1:7">
      <c r="B615" s="799" t="s">
        <v>2577</v>
      </c>
      <c r="C615" s="841"/>
      <c r="D615" s="1868" t="s">
        <v>1283</v>
      </c>
      <c r="E615" s="1868"/>
      <c r="F615" s="1868"/>
      <c r="G615" s="820"/>
    </row>
    <row r="616" spans="1:7">
      <c r="C616" s="841"/>
      <c r="D616" s="1868"/>
      <c r="E616" s="1868"/>
      <c r="F616" s="1868"/>
      <c r="G616" s="820"/>
    </row>
    <row r="617" spans="1:7">
      <c r="C617" s="841"/>
      <c r="G617" s="820"/>
    </row>
    <row r="618" spans="1:7">
      <c r="A618" s="1874" t="s">
        <v>1178</v>
      </c>
      <c r="B618" s="1874"/>
      <c r="C618" s="1874"/>
      <c r="D618" s="1874"/>
      <c r="E618" s="1874"/>
      <c r="F618" s="1874"/>
      <c r="G618" s="1874"/>
    </row>
    <row r="619" spans="1:7">
      <c r="A619" s="842"/>
      <c r="B619" s="842"/>
      <c r="C619" s="842"/>
      <c r="G619" s="820"/>
    </row>
    <row r="620" spans="1:7">
      <c r="C620" s="817"/>
      <c r="D620" s="1864" t="s">
        <v>1284</v>
      </c>
      <c r="E620" s="1864"/>
      <c r="F620" s="1864"/>
      <c r="G620" s="820"/>
    </row>
    <row r="621" spans="1:7">
      <c r="A621" s="817"/>
      <c r="B621" s="817"/>
      <c r="C621" s="819"/>
      <c r="D621" s="795"/>
      <c r="G621" s="820"/>
    </row>
    <row r="622" spans="1:7" ht="14.4">
      <c r="A622" s="798"/>
      <c r="B622" s="799" t="s">
        <v>2576</v>
      </c>
      <c r="C622" s="819"/>
      <c r="D622" s="1909" t="s">
        <v>1512</v>
      </c>
      <c r="E622" s="1909"/>
      <c r="F622" s="1909"/>
      <c r="G622" s="820"/>
    </row>
    <row r="623" spans="1:7">
      <c r="C623" s="819"/>
      <c r="D623" s="1909"/>
      <c r="E623" s="1909"/>
      <c r="F623" s="1909"/>
      <c r="G623" s="820"/>
    </row>
    <row r="624" spans="1:7">
      <c r="C624" s="819"/>
      <c r="D624" s="1909"/>
      <c r="E624" s="1909"/>
      <c r="F624" s="1909"/>
      <c r="G624" s="820"/>
    </row>
    <row r="625" spans="1:7">
      <c r="C625" s="819"/>
      <c r="D625" s="1909"/>
      <c r="E625" s="1909"/>
      <c r="F625" s="1909"/>
      <c r="G625" s="820"/>
    </row>
    <row r="626" spans="1:7">
      <c r="C626" s="819"/>
      <c r="D626" s="1909"/>
      <c r="E626" s="1909"/>
      <c r="F626" s="1909"/>
      <c r="G626" s="820"/>
    </row>
    <row r="627" spans="1:7">
      <c r="C627" s="819"/>
      <c r="D627" s="1909"/>
      <c r="E627" s="1909"/>
      <c r="F627" s="1909"/>
      <c r="G627" s="820"/>
    </row>
    <row r="628" spans="1:7">
      <c r="C628" s="819"/>
      <c r="D628" s="785"/>
      <c r="E628" s="785"/>
      <c r="F628" s="785"/>
      <c r="G628" s="820"/>
    </row>
    <row r="629" spans="1:7" ht="14.4">
      <c r="A629" s="798"/>
      <c r="B629" s="799" t="s">
        <v>2577</v>
      </c>
      <c r="C629" s="819"/>
      <c r="D629" s="1909" t="s">
        <v>1286</v>
      </c>
      <c r="E629" s="1909"/>
      <c r="F629" s="1909"/>
      <c r="G629" s="820"/>
    </row>
    <row r="630" spans="1:7">
      <c r="A630" s="830"/>
      <c r="B630" s="830"/>
      <c r="C630" s="830"/>
      <c r="D630" s="1909"/>
      <c r="E630" s="1909"/>
      <c r="F630" s="1909"/>
      <c r="G630" s="820"/>
    </row>
    <row r="631" spans="1:7">
      <c r="A631" s="830"/>
      <c r="B631" s="830"/>
      <c r="C631" s="830"/>
      <c r="D631" s="786"/>
      <c r="E631" s="843"/>
      <c r="F631" s="843"/>
      <c r="G631" s="820"/>
    </row>
    <row r="632" spans="1:7" ht="14.4">
      <c r="A632" s="798"/>
      <c r="B632" s="799" t="s">
        <v>2577</v>
      </c>
      <c r="C632" s="830"/>
      <c r="D632" s="1866" t="s">
        <v>1447</v>
      </c>
      <c r="E632" s="1866"/>
      <c r="F632" s="1866"/>
      <c r="G632" s="820"/>
    </row>
    <row r="633" spans="1:7" ht="14.4">
      <c r="A633" s="798"/>
      <c r="B633" s="798"/>
      <c r="C633" s="830"/>
      <c r="D633" s="1866"/>
      <c r="E633" s="1866"/>
      <c r="F633" s="1866"/>
      <c r="G633" s="820"/>
    </row>
    <row r="634" spans="1:7" ht="14.4">
      <c r="A634" s="798"/>
      <c r="B634" s="798"/>
      <c r="C634" s="830"/>
      <c r="D634" s="1866"/>
      <c r="E634" s="1866"/>
      <c r="F634" s="1866"/>
      <c r="G634" s="820"/>
    </row>
    <row r="635" spans="1:7">
      <c r="A635" s="830"/>
      <c r="B635" s="799" t="s">
        <v>2577</v>
      </c>
      <c r="C635" s="830"/>
      <c r="D635" s="1914" t="s">
        <v>1288</v>
      </c>
      <c r="E635" s="1914"/>
      <c r="F635" s="1914"/>
      <c r="G635" s="820"/>
    </row>
    <row r="636" spans="1:7">
      <c r="A636" s="830"/>
      <c r="B636" s="830"/>
      <c r="C636" s="830"/>
      <c r="D636" s="728"/>
      <c r="E636" s="728"/>
      <c r="F636" s="728"/>
      <c r="G636" s="820"/>
    </row>
    <row r="637" spans="1:7">
      <c r="A637" s="1874" t="s">
        <v>1179</v>
      </c>
      <c r="B637" s="1874"/>
      <c r="C637" s="1874"/>
      <c r="D637" s="1874"/>
      <c r="E637" s="1874"/>
      <c r="F637" s="1874"/>
      <c r="G637" s="1874"/>
    </row>
    <row r="638" spans="1:7">
      <c r="A638" s="801"/>
      <c r="B638" s="801"/>
      <c r="C638" s="830"/>
      <c r="D638" s="843"/>
      <c r="E638" s="843"/>
      <c r="F638" s="843"/>
      <c r="G638" s="820"/>
    </row>
    <row r="639" spans="1:7">
      <c r="C639" s="842"/>
      <c r="D639" s="2521" t="s">
        <v>1338</v>
      </c>
      <c r="E639" s="2521"/>
      <c r="F639" s="2521"/>
      <c r="G639" s="820"/>
    </row>
    <row r="640" spans="1:7">
      <c r="A640" s="796"/>
      <c r="B640" s="796"/>
      <c r="C640" s="796"/>
      <c r="D640" s="2522" t="s">
        <v>1339</v>
      </c>
      <c r="E640" s="2522"/>
      <c r="F640" s="2522"/>
      <c r="G640" s="820"/>
    </row>
    <row r="641" spans="1:7">
      <c r="A641" s="796"/>
      <c r="B641" s="796"/>
      <c r="C641" s="796"/>
      <c r="D641" s="728"/>
      <c r="E641" s="728"/>
      <c r="F641" s="728"/>
      <c r="G641" s="820"/>
    </row>
    <row r="642" spans="1:7" ht="12.75" customHeight="1">
      <c r="B642" s="1793" t="s">
        <v>2577</v>
      </c>
      <c r="C642" s="830"/>
      <c r="D642" s="2512" t="s">
        <v>1534</v>
      </c>
      <c r="E642" s="2512"/>
      <c r="F642" s="2512"/>
    </row>
    <row r="643" spans="1:7">
      <c r="D643" s="2512"/>
      <c r="E643" s="2512"/>
      <c r="F643" s="2512"/>
    </row>
    <row r="644" spans="1:7">
      <c r="D644" s="2512"/>
      <c r="E644" s="2512"/>
      <c r="F644" s="2512"/>
    </row>
    <row r="645" spans="1:7">
      <c r="D645" s="2512"/>
      <c r="E645" s="2512"/>
      <c r="F645" s="2512"/>
    </row>
    <row r="646" spans="1:7" ht="14.4" customHeight="1">
      <c r="A646" s="798"/>
      <c r="B646" s="798"/>
      <c r="C646" s="830"/>
      <c r="D646" s="902"/>
      <c r="E646" s="902"/>
      <c r="F646" s="902"/>
      <c r="G646" s="820"/>
    </row>
    <row r="647" spans="1:7" ht="12.75" customHeight="1">
      <c r="A647" s="796"/>
      <c r="B647" s="1793" t="s">
        <v>2577</v>
      </c>
      <c r="C647" s="830"/>
      <c r="D647" s="2512" t="s">
        <v>1537</v>
      </c>
      <c r="E647" s="2512"/>
      <c r="F647" s="2512"/>
      <c r="G647" s="820"/>
    </row>
    <row r="648" spans="1:7" ht="14.4">
      <c r="A648" s="796"/>
      <c r="B648" s="798"/>
      <c r="C648" s="830"/>
      <c r="D648" s="2512"/>
      <c r="E648" s="2512"/>
      <c r="F648" s="2512"/>
      <c r="G648" s="820"/>
    </row>
    <row r="649" spans="1:7" ht="14.4">
      <c r="A649" s="796"/>
      <c r="B649" s="798"/>
      <c r="C649" s="830"/>
      <c r="D649" s="2512"/>
      <c r="E649" s="2512"/>
      <c r="F649" s="2512"/>
      <c r="G649" s="820"/>
    </row>
    <row r="650" spans="1:7" ht="14.4">
      <c r="A650" s="796"/>
      <c r="B650" s="798"/>
      <c r="C650" s="830"/>
      <c r="D650" s="2512"/>
      <c r="E650" s="2512"/>
      <c r="F650" s="2512"/>
      <c r="G650" s="820"/>
    </row>
    <row r="651" spans="1:7" ht="14.4">
      <c r="A651" s="796"/>
      <c r="B651" s="798"/>
      <c r="C651" s="830"/>
      <c r="D651" s="2512"/>
      <c r="E651" s="2512"/>
      <c r="F651" s="2512"/>
      <c r="G651" s="820"/>
    </row>
    <row r="652" spans="1:7" ht="14.25" customHeight="1">
      <c r="A652" s="796"/>
      <c r="B652" s="798"/>
      <c r="C652" s="830"/>
      <c r="F652" s="903"/>
      <c r="G652" s="820"/>
    </row>
    <row r="653" spans="1:7" ht="12.75" customHeight="1">
      <c r="A653" s="796"/>
      <c r="B653" s="1793" t="s">
        <v>2577</v>
      </c>
      <c r="C653" s="830"/>
      <c r="D653" s="2512" t="s">
        <v>1535</v>
      </c>
      <c r="E653" s="2512"/>
      <c r="F653" s="2512"/>
      <c r="G653" s="820"/>
    </row>
    <row r="654" spans="1:7" ht="14.4">
      <c r="A654" s="796"/>
      <c r="B654" s="798"/>
      <c r="C654" s="830"/>
      <c r="D654" s="2512"/>
      <c r="E654" s="2512"/>
      <c r="F654" s="2512"/>
      <c r="G654" s="820"/>
    </row>
    <row r="655" spans="1:7" ht="14.4">
      <c r="A655" s="798"/>
      <c r="B655" s="798"/>
      <c r="C655" s="830"/>
      <c r="D655" s="2512"/>
      <c r="E655" s="2512"/>
      <c r="F655" s="2512"/>
      <c r="G655" s="820"/>
    </row>
    <row r="656" spans="1:7" ht="14.4">
      <c r="A656" s="798"/>
      <c r="B656" s="798"/>
      <c r="C656" s="830"/>
      <c r="D656" s="2512"/>
      <c r="E656" s="2512"/>
      <c r="F656" s="2512"/>
      <c r="G656" s="820"/>
    </row>
    <row r="657" spans="1:11" ht="14.4">
      <c r="A657" s="798"/>
      <c r="B657" s="798"/>
      <c r="C657" s="830"/>
      <c r="D657" s="894"/>
      <c r="E657" s="894"/>
      <c r="F657" s="894"/>
      <c r="G657" s="820"/>
    </row>
    <row r="658" spans="1:11" ht="12.75" customHeight="1">
      <c r="A658" s="796"/>
      <c r="B658" s="1793" t="s">
        <v>2577</v>
      </c>
      <c r="C658" s="830"/>
      <c r="D658" s="2512" t="s">
        <v>1536</v>
      </c>
      <c r="E658" s="2512"/>
      <c r="F658" s="2512"/>
      <c r="G658" s="820"/>
    </row>
    <row r="659" spans="1:11" ht="12.75" customHeight="1">
      <c r="A659" s="796"/>
      <c r="B659" s="798"/>
      <c r="C659" s="830"/>
      <c r="D659" s="2512"/>
      <c r="E659" s="2512"/>
      <c r="F659" s="2512"/>
      <c r="G659" s="820"/>
    </row>
    <row r="660" spans="1:11" ht="12.75" customHeight="1">
      <c r="A660" s="796"/>
      <c r="B660" s="798"/>
      <c r="C660" s="830"/>
      <c r="D660" s="2512"/>
      <c r="E660" s="2512"/>
      <c r="F660" s="2512"/>
      <c r="G660" s="820"/>
    </row>
    <row r="661" spans="1:11" ht="12.75" customHeight="1">
      <c r="A661" s="796"/>
      <c r="B661" s="798"/>
      <c r="C661" s="830"/>
      <c r="D661" s="2512"/>
      <c r="E661" s="2512"/>
      <c r="F661" s="2512"/>
      <c r="G661" s="820"/>
    </row>
    <row r="662" spans="1:11" ht="12.75" customHeight="1">
      <c r="A662" s="796"/>
      <c r="B662" s="798"/>
      <c r="C662" s="830"/>
      <c r="D662" s="2512"/>
      <c r="E662" s="2512"/>
      <c r="F662" s="2512"/>
      <c r="G662" s="820"/>
    </row>
    <row r="663" spans="1:11" ht="12.75" customHeight="1">
      <c r="A663" s="796"/>
      <c r="B663" s="798"/>
      <c r="C663" s="830"/>
      <c r="D663" s="2512"/>
      <c r="E663" s="2512"/>
      <c r="F663" s="2512"/>
      <c r="G663" s="820"/>
    </row>
    <row r="664" spans="1:11" ht="12.75" customHeight="1">
      <c r="A664" s="796"/>
      <c r="B664" s="798"/>
      <c r="C664" s="830"/>
      <c r="D664" s="2512"/>
      <c r="E664" s="2512"/>
      <c r="F664" s="2512"/>
      <c r="G664" s="820"/>
    </row>
    <row r="665" spans="1:11" ht="12.75" customHeight="1">
      <c r="A665" s="796"/>
      <c r="B665" s="798"/>
      <c r="C665" s="830"/>
      <c r="D665" s="2512"/>
      <c r="E665" s="2512"/>
      <c r="F665" s="2512"/>
      <c r="G665" s="820"/>
    </row>
    <row r="666" spans="1:11" ht="12.75" customHeight="1">
      <c r="A666" s="796"/>
      <c r="B666" s="798"/>
      <c r="C666" s="830"/>
      <c r="D666" s="2512"/>
      <c r="E666" s="2512"/>
      <c r="F666" s="2512"/>
      <c r="G666" s="820"/>
    </row>
    <row r="667" spans="1:11">
      <c r="A667" s="830"/>
      <c r="B667" s="830"/>
      <c r="C667" s="830"/>
      <c r="D667" s="843"/>
      <c r="E667" s="843"/>
      <c r="F667" s="843"/>
      <c r="G667" s="820"/>
    </row>
    <row r="668" spans="1:11">
      <c r="A668" s="1874" t="s">
        <v>1180</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64" t="s">
        <v>104</v>
      </c>
      <c r="E670" s="1864"/>
      <c r="F670" s="1864"/>
      <c r="G670" s="820"/>
      <c r="H670" s="844"/>
      <c r="I670" s="844"/>
      <c r="J670" s="844"/>
      <c r="K670" s="844"/>
    </row>
    <row r="671" spans="1:11">
      <c r="A671" s="842"/>
      <c r="B671" s="842"/>
      <c r="C671" s="842"/>
      <c r="D671" s="1864" t="s">
        <v>128</v>
      </c>
      <c r="E671" s="1864"/>
      <c r="F671" s="1864"/>
      <c r="G671" s="820"/>
      <c r="H671" s="844"/>
      <c r="I671" s="844"/>
      <c r="J671" s="844"/>
      <c r="K671" s="844"/>
    </row>
    <row r="672" spans="1:11">
      <c r="A672" s="796"/>
      <c r="B672" s="796"/>
      <c r="C672" s="796"/>
      <c r="D672" s="1914" t="s">
        <v>1216</v>
      </c>
      <c r="E672" s="1914"/>
      <c r="F672" s="1914"/>
      <c r="G672" s="820"/>
      <c r="H672" s="844"/>
      <c r="I672" s="844"/>
      <c r="J672" s="844"/>
      <c r="K672" s="844"/>
    </row>
    <row r="673" spans="1:11">
      <c r="A673" s="796"/>
      <c r="B673" s="796"/>
      <c r="C673" s="796"/>
      <c r="G673" s="820"/>
      <c r="H673" s="844"/>
      <c r="I673" s="844"/>
      <c r="J673" s="844"/>
      <c r="K673" s="844"/>
    </row>
    <row r="674" spans="1:11" ht="14.4">
      <c r="A674" s="798"/>
      <c r="B674" s="799" t="s">
        <v>2576</v>
      </c>
      <c r="C674" s="796"/>
      <c r="D674" s="1914" t="s">
        <v>954</v>
      </c>
      <c r="E674" s="1914"/>
      <c r="F674" s="1914"/>
      <c r="G674" s="820"/>
      <c r="H674" s="844"/>
      <c r="I674" s="844"/>
      <c r="J674" s="844"/>
      <c r="K674" s="844"/>
    </row>
    <row r="675" spans="1:11">
      <c r="A675" s="796"/>
      <c r="B675" s="796"/>
      <c r="C675" s="796"/>
      <c r="D675" s="1914" t="s">
        <v>965</v>
      </c>
      <c r="E675" s="1914"/>
      <c r="F675" s="1914"/>
      <c r="G675" s="820"/>
      <c r="H675" s="844"/>
      <c r="I675" s="844"/>
      <c r="J675" s="844"/>
      <c r="K675" s="844"/>
    </row>
    <row r="676" spans="1:11">
      <c r="A676" s="796"/>
      <c r="B676" s="796"/>
      <c r="C676" s="796"/>
      <c r="D676" s="673"/>
      <c r="E676" s="2536" t="s">
        <v>1217</v>
      </c>
      <c r="F676" s="2536"/>
      <c r="G676" s="820"/>
      <c r="H676" s="844"/>
      <c r="I676" s="844"/>
      <c r="J676" s="844"/>
      <c r="K676" s="844"/>
    </row>
    <row r="677" spans="1:11">
      <c r="A677" s="796"/>
      <c r="B677" s="796"/>
      <c r="C677" s="796"/>
      <c r="D677" s="673"/>
      <c r="E677" s="2536"/>
      <c r="F677" s="2536"/>
      <c r="G677" s="820"/>
      <c r="H677" s="844"/>
      <c r="I677" s="844"/>
      <c r="J677" s="844"/>
      <c r="K677" s="844"/>
    </row>
    <row r="678" spans="1:11">
      <c r="A678" s="796"/>
      <c r="B678" s="796"/>
      <c r="C678" s="796"/>
      <c r="D678" s="845"/>
      <c r="E678" s="801"/>
      <c r="G678" s="820"/>
      <c r="H678" s="844"/>
      <c r="I678" s="844"/>
      <c r="J678" s="844"/>
      <c r="K678" s="844"/>
    </row>
    <row r="679" spans="1:11" ht="14.4">
      <c r="A679" s="798"/>
      <c r="B679" s="799" t="s">
        <v>2577</v>
      </c>
      <c r="C679" s="796"/>
      <c r="D679" s="1909" t="s">
        <v>1413</v>
      </c>
      <c r="E679" s="1909"/>
      <c r="F679" s="1909"/>
      <c r="G679" s="820"/>
      <c r="H679" s="844"/>
      <c r="I679" s="844"/>
      <c r="J679" s="844"/>
      <c r="K679" s="844"/>
    </row>
    <row r="680" spans="1:11">
      <c r="A680" s="817"/>
      <c r="B680" s="817"/>
      <c r="C680" s="796"/>
      <c r="D680" s="1909"/>
      <c r="E680" s="1909"/>
      <c r="F680" s="1909"/>
      <c r="G680" s="820"/>
      <c r="H680" s="844"/>
      <c r="I680" s="844"/>
      <c r="J680" s="844"/>
      <c r="K680" s="844"/>
    </row>
    <row r="681" spans="1:11">
      <c r="A681" s="796"/>
      <c r="B681" s="796"/>
      <c r="C681" s="796"/>
      <c r="D681" s="1909"/>
      <c r="E681" s="1909"/>
      <c r="F681" s="1909"/>
      <c r="G681" s="820"/>
      <c r="H681" s="844"/>
      <c r="I681" s="844"/>
      <c r="J681" s="844"/>
      <c r="K681" s="844"/>
    </row>
    <row r="682" spans="1:11">
      <c r="A682" s="796"/>
      <c r="B682" s="796"/>
      <c r="C682" s="796"/>
      <c r="G682" s="820"/>
      <c r="H682" s="844"/>
      <c r="I682" s="844"/>
      <c r="J682" s="844"/>
      <c r="K682" s="844"/>
    </row>
    <row r="683" spans="1:11" ht="14.4">
      <c r="A683" s="798"/>
      <c r="B683" s="799" t="s">
        <v>2576</v>
      </c>
      <c r="C683" s="796"/>
      <c r="D683" s="1914" t="s">
        <v>994</v>
      </c>
      <c r="E683" s="1914"/>
      <c r="F683" s="1914"/>
      <c r="G683" s="820"/>
      <c r="H683" s="844"/>
      <c r="I683" s="844"/>
      <c r="J683" s="844"/>
      <c r="K683" s="844"/>
    </row>
    <row r="684" spans="1:11" ht="14.4">
      <c r="A684" s="798"/>
      <c r="B684" s="798"/>
      <c r="C684" s="796"/>
      <c r="D684" s="1914" t="s">
        <v>965</v>
      </c>
      <c r="E684" s="1914"/>
      <c r="F684" s="1914"/>
      <c r="G684" s="820"/>
      <c r="H684" s="844"/>
      <c r="I684" s="844"/>
      <c r="J684" s="844"/>
      <c r="K684" s="844"/>
    </row>
    <row r="685" spans="1:11">
      <c r="A685" s="796"/>
      <c r="B685" s="796"/>
      <c r="C685" s="796"/>
      <c r="D685" s="673"/>
      <c r="E685" s="2517" t="s">
        <v>1219</v>
      </c>
      <c r="F685" s="2517"/>
      <c r="G685" s="820"/>
      <c r="H685" s="844"/>
      <c r="I685" s="844"/>
      <c r="J685" s="844"/>
      <c r="K685" s="844"/>
    </row>
    <row r="686" spans="1:11">
      <c r="A686" s="796"/>
      <c r="B686" s="796"/>
      <c r="C686" s="796"/>
      <c r="D686" s="795"/>
      <c r="G686" s="820"/>
      <c r="H686" s="844"/>
      <c r="I686" s="844"/>
      <c r="J686" s="844"/>
      <c r="K686" s="844"/>
    </row>
    <row r="687" spans="1:11" ht="14.4">
      <c r="A687" s="798"/>
      <c r="B687" s="799" t="s">
        <v>2577</v>
      </c>
      <c r="C687" s="796"/>
      <c r="D687" s="2511" t="s">
        <v>1229</v>
      </c>
      <c r="E687" s="2511"/>
      <c r="F687" s="2511"/>
      <c r="G687" s="820"/>
      <c r="H687" s="844"/>
      <c r="I687" s="844"/>
      <c r="J687" s="844"/>
      <c r="K687" s="844"/>
    </row>
    <row r="688" spans="1:11">
      <c r="A688" s="796"/>
      <c r="B688" s="796"/>
      <c r="C688" s="796"/>
      <c r="D688" s="2511"/>
      <c r="E688" s="2511"/>
      <c r="F688" s="2511"/>
      <c r="G688" s="820"/>
      <c r="H688" s="844"/>
      <c r="I688" s="844"/>
      <c r="J688" s="844"/>
      <c r="K688" s="844"/>
    </row>
    <row r="689" spans="1:11">
      <c r="A689" s="796"/>
      <c r="B689" s="796"/>
      <c r="C689" s="796"/>
      <c r="D689" s="2511"/>
      <c r="E689" s="2511"/>
      <c r="F689" s="2511"/>
      <c r="G689" s="820"/>
      <c r="H689" s="844"/>
      <c r="I689" s="844"/>
      <c r="J689" s="844"/>
      <c r="K689" s="844"/>
    </row>
    <row r="690" spans="1:11">
      <c r="A690" s="796"/>
      <c r="B690" s="796"/>
      <c r="C690" s="796"/>
      <c r="D690" s="2511"/>
      <c r="E690" s="2511"/>
      <c r="F690" s="2511"/>
      <c r="G690" s="820"/>
      <c r="H690" s="844"/>
      <c r="I690" s="844"/>
      <c r="J690" s="844"/>
      <c r="K690" s="844"/>
    </row>
    <row r="691" spans="1:11">
      <c r="A691" s="796"/>
      <c r="B691" s="796"/>
      <c r="C691" s="796"/>
      <c r="D691" s="2511"/>
      <c r="E691" s="2511"/>
      <c r="F691" s="2511"/>
      <c r="G691" s="820"/>
      <c r="H691" s="844"/>
      <c r="I691" s="844"/>
      <c r="J691" s="844"/>
      <c r="K691" s="844"/>
    </row>
    <row r="692" spans="1:11" s="792" customFormat="1">
      <c r="A692" s="836"/>
      <c r="B692" s="836"/>
      <c r="C692" s="836"/>
      <c r="D692" s="2511"/>
      <c r="E692" s="2511"/>
      <c r="F692" s="251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2577</v>
      </c>
      <c r="C694" s="836"/>
      <c r="D694" s="2511" t="s">
        <v>1415</v>
      </c>
      <c r="E694" s="2511"/>
      <c r="F694" s="2511"/>
      <c r="G694" s="846"/>
      <c r="H694" s="847"/>
      <c r="I694" s="847"/>
      <c r="J694" s="847"/>
      <c r="K694" s="847"/>
    </row>
    <row r="695" spans="1:11" s="792" customFormat="1">
      <c r="A695" s="836"/>
      <c r="B695" s="836"/>
      <c r="C695" s="836"/>
      <c r="D695" s="2511"/>
      <c r="E695" s="2511"/>
      <c r="F695" s="2511"/>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2577</v>
      </c>
      <c r="C697" s="796"/>
      <c r="D697" s="2511" t="s">
        <v>1220</v>
      </c>
      <c r="E697" s="2511"/>
      <c r="F697" s="2511"/>
      <c r="G697" s="820"/>
      <c r="H697" s="844"/>
      <c r="I697" s="844"/>
      <c r="J697" s="844"/>
      <c r="K697" s="844"/>
    </row>
    <row r="698" spans="1:11">
      <c r="A698" s="796"/>
      <c r="B698" s="796"/>
      <c r="C698" s="796"/>
      <c r="D698" s="2511"/>
      <c r="E698" s="2511"/>
      <c r="F698" s="2511"/>
      <c r="G698" s="820"/>
      <c r="H698" s="844"/>
      <c r="I698" s="844"/>
      <c r="J698" s="844"/>
      <c r="K698" s="844"/>
    </row>
    <row r="699" spans="1:11">
      <c r="A699" s="796"/>
      <c r="B699" s="796"/>
      <c r="C699" s="796"/>
      <c r="D699" s="2511"/>
      <c r="E699" s="2511"/>
      <c r="F699" s="2511"/>
      <c r="G699" s="820"/>
      <c r="H699" s="844"/>
      <c r="I699" s="844"/>
      <c r="J699" s="844"/>
      <c r="K699" s="844"/>
    </row>
    <row r="700" spans="1:11" ht="15" customHeight="1">
      <c r="A700" s="796"/>
      <c r="B700" s="796"/>
      <c r="C700" s="796"/>
      <c r="D700" s="2511"/>
      <c r="E700" s="2511"/>
      <c r="F700" s="2511"/>
      <c r="G700" s="820"/>
      <c r="H700" s="844"/>
      <c r="I700" s="844"/>
      <c r="J700" s="844"/>
      <c r="K700" s="844"/>
    </row>
    <row r="701" spans="1:11" ht="15" customHeight="1">
      <c r="A701" s="796"/>
      <c r="B701" s="796"/>
      <c r="C701" s="796"/>
      <c r="D701" s="2511"/>
      <c r="E701" s="2511"/>
      <c r="F701" s="2511"/>
      <c r="G701" s="820"/>
      <c r="H701" s="844"/>
      <c r="I701" s="844"/>
      <c r="J701" s="844"/>
      <c r="K701" s="844"/>
    </row>
    <row r="702" spans="1:11">
      <c r="A702" s="796"/>
      <c r="B702" s="796"/>
      <c r="C702" s="796"/>
      <c r="D702" s="2511"/>
      <c r="E702" s="2511"/>
      <c r="F702" s="2511"/>
      <c r="G702" s="820"/>
      <c r="H702" s="844"/>
      <c r="I702" s="844"/>
      <c r="J702" s="844"/>
      <c r="K702" s="844"/>
    </row>
    <row r="703" spans="1:11">
      <c r="A703" s="796"/>
      <c r="B703" s="796"/>
      <c r="C703" s="796"/>
      <c r="D703" s="2511"/>
      <c r="E703" s="2511"/>
      <c r="F703" s="2511"/>
      <c r="G703" s="820"/>
      <c r="H703" s="844"/>
      <c r="I703" s="844"/>
      <c r="J703" s="844"/>
      <c r="K703" s="844"/>
    </row>
    <row r="704" spans="1:11">
      <c r="A704" s="796"/>
      <c r="B704" s="796"/>
      <c r="C704" s="796"/>
      <c r="D704" s="2511"/>
      <c r="E704" s="2511"/>
      <c r="F704" s="2511"/>
      <c r="G704" s="820"/>
      <c r="H704" s="844"/>
      <c r="I704" s="844"/>
      <c r="J704" s="844"/>
      <c r="K704" s="844"/>
    </row>
    <row r="705" spans="1:11" ht="15" customHeight="1">
      <c r="A705" s="796"/>
      <c r="B705" s="796"/>
      <c r="C705" s="796"/>
      <c r="D705" s="2511"/>
      <c r="E705" s="2511"/>
      <c r="F705" s="2511"/>
      <c r="G705" s="820"/>
      <c r="H705" s="844"/>
      <c r="I705" s="844"/>
      <c r="J705" s="844"/>
      <c r="K705" s="844"/>
    </row>
    <row r="706" spans="1:11">
      <c r="A706" s="796"/>
      <c r="B706" s="796"/>
      <c r="C706" s="796"/>
      <c r="D706" s="2511"/>
      <c r="E706" s="2511"/>
      <c r="F706" s="2511"/>
      <c r="G706" s="820"/>
      <c r="H706" s="844"/>
      <c r="I706" s="844"/>
      <c r="J706" s="844"/>
      <c r="K706" s="844"/>
    </row>
    <row r="707" spans="1:11">
      <c r="A707" s="796"/>
      <c r="B707" s="796"/>
      <c r="C707" s="796"/>
      <c r="D707" s="2511"/>
      <c r="E707" s="2511"/>
      <c r="F707" s="2511"/>
      <c r="G707" s="820"/>
      <c r="H707" s="844"/>
      <c r="I707" s="844"/>
      <c r="J707" s="844"/>
      <c r="K707" s="844"/>
    </row>
    <row r="708" spans="1:11">
      <c r="A708" s="796"/>
      <c r="B708" s="796"/>
      <c r="C708" s="796"/>
      <c r="D708" s="2511"/>
      <c r="E708" s="2511"/>
      <c r="F708" s="2511"/>
      <c r="G708" s="820"/>
      <c r="H708" s="844"/>
      <c r="I708" s="844"/>
      <c r="J708" s="844"/>
      <c r="K708" s="844"/>
    </row>
    <row r="709" spans="1:11">
      <c r="A709" s="796"/>
      <c r="B709" s="796"/>
      <c r="C709" s="796"/>
      <c r="D709" s="2511"/>
      <c r="E709" s="2511"/>
      <c r="F709" s="2511"/>
      <c r="G709" s="820"/>
      <c r="H709" s="844"/>
      <c r="I709" s="844"/>
      <c r="J709" s="844"/>
      <c r="K709" s="844"/>
    </row>
    <row r="710" spans="1:11">
      <c r="A710" s="796"/>
      <c r="B710" s="1793" t="s">
        <v>2577</v>
      </c>
      <c r="C710" s="796"/>
      <c r="D710" s="2511" t="s">
        <v>1227</v>
      </c>
      <c r="E710" s="2511"/>
      <c r="F710" s="2511"/>
      <c r="G710" s="820"/>
      <c r="H710" s="844"/>
      <c r="I710" s="844"/>
      <c r="J710" s="844"/>
      <c r="K710" s="844"/>
    </row>
    <row r="711" spans="1:11">
      <c r="A711" s="796"/>
      <c r="B711" s="796"/>
      <c r="C711" s="796"/>
      <c r="D711" s="2511"/>
      <c r="E711" s="2511"/>
      <c r="F711" s="2511"/>
      <c r="G711" s="820"/>
      <c r="H711" s="844"/>
      <c r="I711" s="844"/>
      <c r="J711" s="844"/>
      <c r="K711" s="844"/>
    </row>
    <row r="712" spans="1:11">
      <c r="A712" s="796"/>
      <c r="B712" s="796"/>
      <c r="C712" s="796"/>
      <c r="D712" s="848"/>
      <c r="E712" s="848"/>
      <c r="F712" s="848"/>
      <c r="G712" s="820"/>
      <c r="H712" s="844"/>
      <c r="I712" s="844"/>
      <c r="J712" s="844"/>
      <c r="K712" s="844"/>
    </row>
    <row r="713" spans="1:11">
      <c r="A713" s="796"/>
      <c r="B713" s="1793" t="s">
        <v>2577</v>
      </c>
      <c r="C713" s="796"/>
      <c r="D713" s="2511" t="s">
        <v>1228</v>
      </c>
      <c r="E713" s="2511"/>
      <c r="F713" s="2511"/>
      <c r="G713" s="820"/>
      <c r="H713" s="844"/>
      <c r="I713" s="844"/>
      <c r="J713" s="844"/>
      <c r="K713" s="844"/>
    </row>
    <row r="714" spans="1:11">
      <c r="A714" s="796"/>
      <c r="B714" s="796"/>
      <c r="C714" s="796"/>
      <c r="D714" s="2511"/>
      <c r="E714" s="2511"/>
      <c r="F714" s="2511"/>
      <c r="G714" s="820"/>
      <c r="H714" s="844"/>
      <c r="I714" s="844"/>
      <c r="J714" s="844"/>
      <c r="K714" s="844"/>
    </row>
    <row r="715" spans="1:11">
      <c r="A715" s="796"/>
      <c r="B715" s="796"/>
      <c r="C715" s="796"/>
      <c r="D715" s="2511"/>
      <c r="E715" s="2511"/>
      <c r="F715" s="2511"/>
      <c r="G715" s="820"/>
      <c r="H715" s="844"/>
      <c r="I715" s="844"/>
      <c r="J715" s="844"/>
      <c r="K715" s="844"/>
    </row>
    <row r="716" spans="1:11">
      <c r="A716" s="796"/>
      <c r="B716" s="796"/>
      <c r="C716" s="796"/>
      <c r="D716" s="848"/>
      <c r="E716" s="848"/>
      <c r="F716" s="848"/>
      <c r="G716" s="820"/>
      <c r="H716" s="844"/>
      <c r="I716" s="844"/>
      <c r="J716" s="844"/>
      <c r="K716" s="844"/>
    </row>
    <row r="717" spans="1:11">
      <c r="A717" s="796"/>
      <c r="B717" s="1793" t="s">
        <v>2577</v>
      </c>
      <c r="C717" s="796"/>
      <c r="D717" s="2511" t="s">
        <v>1221</v>
      </c>
      <c r="E717" s="2511"/>
      <c r="F717" s="2511"/>
      <c r="G717" s="820"/>
      <c r="H717" s="844"/>
      <c r="I717" s="844"/>
      <c r="J717" s="844"/>
      <c r="K717" s="844"/>
    </row>
    <row r="718" spans="1:11">
      <c r="A718" s="796"/>
      <c r="B718" s="796"/>
      <c r="C718" s="796"/>
      <c r="D718" s="2511"/>
      <c r="E718" s="2511"/>
      <c r="F718" s="2511"/>
      <c r="G718" s="820"/>
      <c r="H718" s="844"/>
      <c r="I718" s="844"/>
      <c r="J718" s="844"/>
      <c r="K718" s="844"/>
    </row>
    <row r="719" spans="1:11">
      <c r="A719" s="796"/>
      <c r="B719" s="796"/>
      <c r="C719" s="796"/>
      <c r="D719" s="2511"/>
      <c r="E719" s="2511"/>
      <c r="F719" s="2511"/>
      <c r="G719" s="820"/>
      <c r="H719" s="844"/>
      <c r="I719" s="844"/>
      <c r="J719" s="844"/>
      <c r="K719" s="844"/>
    </row>
    <row r="720" spans="1:11">
      <c r="A720" s="796"/>
      <c r="B720" s="796"/>
      <c r="C720" s="796"/>
      <c r="D720" s="803"/>
      <c r="G720" s="820"/>
      <c r="H720" s="844"/>
      <c r="I720" s="844"/>
      <c r="J720" s="844"/>
      <c r="K720" s="844"/>
    </row>
    <row r="721" spans="1:11">
      <c r="A721" s="796"/>
      <c r="B721" s="1793" t="s">
        <v>2577</v>
      </c>
      <c r="C721" s="796"/>
      <c r="D721" s="2511" t="s">
        <v>1222</v>
      </c>
      <c r="E721" s="2511"/>
      <c r="F721" s="2511"/>
      <c r="G721" s="820"/>
      <c r="H721" s="844"/>
      <c r="I721" s="844"/>
      <c r="J721" s="844"/>
      <c r="K721" s="844"/>
    </row>
    <row r="722" spans="1:11">
      <c r="A722" s="796"/>
      <c r="B722" s="796"/>
      <c r="C722" s="796"/>
      <c r="D722" s="2511"/>
      <c r="E722" s="2511"/>
      <c r="F722" s="2511"/>
      <c r="G722" s="820"/>
      <c r="H722" s="844"/>
      <c r="I722" s="844"/>
      <c r="J722" s="844"/>
      <c r="K722" s="844"/>
    </row>
    <row r="723" spans="1:11">
      <c r="A723" s="796"/>
      <c r="B723" s="796"/>
      <c r="C723" s="796"/>
      <c r="D723" s="2511"/>
      <c r="E723" s="2511"/>
      <c r="F723" s="2511"/>
      <c r="G723" s="820"/>
      <c r="H723" s="844"/>
      <c r="I723" s="844"/>
      <c r="J723" s="844"/>
      <c r="K723" s="844"/>
    </row>
    <row r="724" spans="1:11">
      <c r="A724" s="796"/>
      <c r="B724" s="796"/>
      <c r="C724" s="796"/>
      <c r="D724" s="791"/>
      <c r="G724" s="820"/>
      <c r="H724" s="844"/>
      <c r="I724" s="844"/>
      <c r="J724" s="844"/>
      <c r="K724" s="844"/>
    </row>
    <row r="725" spans="1:11" ht="14.4">
      <c r="A725" s="798"/>
      <c r="B725" s="1793" t="s">
        <v>2577</v>
      </c>
      <c r="C725" s="796"/>
      <c r="D725" s="1909" t="s">
        <v>1223</v>
      </c>
      <c r="E725" s="1909"/>
      <c r="F725" s="1909"/>
      <c r="G725" s="820"/>
      <c r="H725" s="844"/>
      <c r="I725" s="844"/>
      <c r="J725" s="844"/>
      <c r="K725" s="844"/>
    </row>
    <row r="726" spans="1:11">
      <c r="A726" s="796"/>
      <c r="B726" s="796"/>
      <c r="C726" s="796"/>
      <c r="D726" s="1909"/>
      <c r="E726" s="1909"/>
      <c r="F726" s="1909"/>
      <c r="G726" s="820"/>
      <c r="H726" s="844"/>
      <c r="I726" s="844"/>
      <c r="J726" s="844"/>
      <c r="K726" s="844"/>
    </row>
    <row r="727" spans="1:11">
      <c r="A727" s="796"/>
      <c r="B727" s="796"/>
      <c r="C727" s="796"/>
      <c r="D727" s="1909"/>
      <c r="E727" s="1909"/>
      <c r="F727" s="1909"/>
      <c r="G727" s="820"/>
      <c r="H727" s="844"/>
      <c r="I727" s="844"/>
      <c r="J727" s="844"/>
      <c r="K727" s="844"/>
    </row>
    <row r="728" spans="1:11">
      <c r="A728" s="796"/>
      <c r="B728" s="796"/>
      <c r="C728" s="796"/>
      <c r="D728" s="1909"/>
      <c r="E728" s="1909"/>
      <c r="F728" s="1909"/>
      <c r="G728" s="820"/>
      <c r="H728" s="844"/>
      <c r="I728" s="844"/>
      <c r="J728" s="844"/>
      <c r="K728" s="844"/>
    </row>
    <row r="729" spans="1:11">
      <c r="A729" s="796"/>
      <c r="B729" s="796"/>
      <c r="C729" s="796"/>
      <c r="D729" s="823"/>
      <c r="G729" s="820"/>
      <c r="H729" s="844"/>
      <c r="I729" s="844"/>
      <c r="J729" s="844"/>
      <c r="K729" s="844"/>
    </row>
    <row r="730" spans="1:11" ht="14.4">
      <c r="A730" s="798"/>
      <c r="B730" s="1793" t="s">
        <v>2577</v>
      </c>
      <c r="C730" s="796"/>
      <c r="D730" s="2511" t="s">
        <v>1356</v>
      </c>
      <c r="E730" s="2511"/>
      <c r="F730" s="2511"/>
      <c r="G730" s="820"/>
      <c r="H730" s="844"/>
      <c r="I730" s="844"/>
      <c r="J730" s="844"/>
      <c r="K730" s="844"/>
    </row>
    <row r="731" spans="1:11">
      <c r="A731" s="796"/>
      <c r="B731" s="796"/>
      <c r="C731" s="796"/>
      <c r="D731" s="2511"/>
      <c r="E731" s="2511"/>
      <c r="F731" s="2511"/>
      <c r="G731" s="820"/>
      <c r="H731" s="844"/>
      <c r="I731" s="844"/>
      <c r="J731" s="844"/>
      <c r="K731" s="844"/>
    </row>
    <row r="732" spans="1:11">
      <c r="A732" s="796"/>
      <c r="B732" s="796"/>
      <c r="C732" s="796"/>
      <c r="D732" s="2511"/>
      <c r="E732" s="2511"/>
      <c r="F732" s="2511"/>
      <c r="G732" s="820"/>
      <c r="H732" s="844"/>
      <c r="I732" s="844"/>
      <c r="J732" s="844"/>
      <c r="K732" s="844"/>
    </row>
    <row r="733" spans="1:11">
      <c r="A733" s="796"/>
      <c r="B733" s="796"/>
      <c r="C733" s="796"/>
      <c r="D733" s="2511"/>
      <c r="E733" s="2511"/>
      <c r="F733" s="2511"/>
      <c r="G733" s="820"/>
      <c r="H733" s="844"/>
      <c r="I733" s="844"/>
      <c r="J733" s="844"/>
      <c r="K733" s="844"/>
    </row>
    <row r="734" spans="1:11">
      <c r="A734" s="796"/>
      <c r="B734" s="796"/>
      <c r="C734" s="796"/>
      <c r="D734" s="2511"/>
      <c r="E734" s="2511"/>
      <c r="F734" s="2511"/>
      <c r="G734" s="820"/>
      <c r="H734" s="844"/>
      <c r="I734" s="844"/>
      <c r="J734" s="844"/>
      <c r="K734" s="844"/>
    </row>
    <row r="735" spans="1:11">
      <c r="A735" s="796"/>
      <c r="B735" s="796"/>
      <c r="C735" s="796"/>
      <c r="D735" s="2511"/>
      <c r="E735" s="2511"/>
      <c r="F735" s="2511"/>
      <c r="G735" s="820"/>
      <c r="H735" s="844"/>
      <c r="I735" s="844"/>
      <c r="J735" s="844"/>
      <c r="K735" s="844"/>
    </row>
    <row r="736" spans="1:11">
      <c r="A736" s="796"/>
      <c r="B736" s="796"/>
      <c r="C736" s="796"/>
      <c r="D736" s="2511"/>
      <c r="E736" s="2511"/>
      <c r="F736" s="2511"/>
      <c r="G736" s="820"/>
      <c r="H736" s="844"/>
      <c r="I736" s="844"/>
      <c r="J736" s="844"/>
      <c r="K736" s="844"/>
    </row>
    <row r="737" spans="1:11">
      <c r="A737" s="796"/>
      <c r="B737" s="796"/>
      <c r="C737" s="796"/>
      <c r="D737" s="1882" t="s">
        <v>1224</v>
      </c>
      <c r="E737" s="1882"/>
      <c r="F737" s="1882"/>
      <c r="G737" s="820"/>
      <c r="H737" s="844"/>
      <c r="I737" s="844"/>
      <c r="J737" s="844"/>
      <c r="K737" s="844"/>
    </row>
    <row r="738" spans="1:11">
      <c r="A738" s="796"/>
      <c r="B738" s="796"/>
      <c r="C738" s="796"/>
      <c r="D738" s="783"/>
      <c r="G738" s="820"/>
      <c r="H738" s="844"/>
      <c r="I738" s="844"/>
      <c r="J738" s="844"/>
      <c r="K738" s="844"/>
    </row>
    <row r="739" spans="1:11">
      <c r="A739" s="1875" t="s">
        <v>1181</v>
      </c>
      <c r="B739" s="1875"/>
      <c r="C739" s="1875"/>
      <c r="D739" s="1875"/>
      <c r="E739" s="1875"/>
      <c r="F739" s="1875"/>
      <c r="G739" s="1875"/>
      <c r="H739" s="844"/>
      <c r="I739" s="844"/>
      <c r="J739" s="844"/>
      <c r="K739" s="844"/>
    </row>
    <row r="740" spans="1:11">
      <c r="A740" s="796"/>
      <c r="B740" s="796"/>
      <c r="C740" s="796"/>
      <c r="D740" s="823"/>
      <c r="G740" s="849"/>
      <c r="H740" s="844"/>
      <c r="I740" s="844"/>
      <c r="J740" s="844"/>
      <c r="K740" s="844"/>
    </row>
    <row r="741" spans="1:11" ht="13.65" customHeight="1">
      <c r="C741" s="796"/>
      <c r="D741" s="2506" t="s">
        <v>1197</v>
      </c>
      <c r="E741" s="2506"/>
      <c r="F741" s="2506"/>
      <c r="G741" s="849"/>
      <c r="H741" s="844"/>
      <c r="I741" s="844"/>
      <c r="J741" s="844"/>
      <c r="K741" s="844"/>
    </row>
    <row r="742" spans="1:11">
      <c r="A742" s="796"/>
      <c r="B742" s="796"/>
      <c r="C742" s="796"/>
      <c r="D742" s="1888" t="s">
        <v>1198</v>
      </c>
      <c r="E742" s="1888"/>
      <c r="F742" s="1888"/>
      <c r="G742" s="849"/>
      <c r="H742" s="844"/>
      <c r="I742" s="844"/>
      <c r="J742" s="844"/>
      <c r="K742" s="844"/>
    </row>
    <row r="743" spans="1:11">
      <c r="A743" s="796"/>
      <c r="B743" s="796"/>
      <c r="C743" s="796"/>
      <c r="G743" s="849"/>
      <c r="H743" s="844"/>
      <c r="I743" s="844"/>
      <c r="J743" s="844"/>
      <c r="K743" s="844"/>
    </row>
    <row r="744" spans="1:11" s="792" customFormat="1" ht="14.4">
      <c r="A744" s="798"/>
      <c r="B744" s="799" t="s">
        <v>2576</v>
      </c>
      <c r="C744" s="789"/>
      <c r="D744" s="1909" t="s">
        <v>1199</v>
      </c>
      <c r="E744" s="1909"/>
      <c r="F744" s="1909"/>
      <c r="G744" s="849"/>
      <c r="H744" s="847"/>
      <c r="I744" s="847"/>
      <c r="J744" s="847"/>
      <c r="K744" s="847"/>
    </row>
    <row r="745" spans="1:11" s="792" customFormat="1" ht="10.5" customHeight="1">
      <c r="A745" s="789"/>
      <c r="B745" s="789"/>
      <c r="C745" s="789"/>
      <c r="D745" s="1909"/>
      <c r="E745" s="1909"/>
      <c r="F745" s="1909"/>
      <c r="G745" s="849"/>
      <c r="H745" s="847"/>
      <c r="I745" s="847"/>
      <c r="J745" s="847"/>
      <c r="K745" s="847"/>
    </row>
    <row r="746" spans="1:11" s="792" customFormat="1">
      <c r="A746" s="789"/>
      <c r="B746" s="789"/>
      <c r="C746" s="789"/>
      <c r="D746" s="1909"/>
      <c r="E746" s="1909"/>
      <c r="F746" s="1909"/>
      <c r="G746" s="849"/>
      <c r="H746" s="847"/>
      <c r="I746" s="847"/>
      <c r="J746" s="847"/>
      <c r="K746" s="847"/>
    </row>
    <row r="747" spans="1:11">
      <c r="D747" s="1909"/>
      <c r="E747" s="1909"/>
      <c r="F747" s="1909"/>
      <c r="G747" s="849"/>
      <c r="H747" s="844"/>
      <c r="I747" s="844"/>
      <c r="J747" s="844"/>
      <c r="K747" s="844"/>
    </row>
    <row r="748" spans="1:11">
      <c r="A748" s="802"/>
      <c r="B748" s="802"/>
      <c r="C748" s="802"/>
      <c r="D748" s="1909"/>
      <c r="E748" s="1909"/>
      <c r="F748" s="1909"/>
      <c r="G748" s="850"/>
      <c r="H748" s="844"/>
      <c r="I748" s="844"/>
      <c r="J748" s="844"/>
      <c r="K748" s="844"/>
    </row>
    <row r="749" spans="1:11" ht="15.6" customHeight="1">
      <c r="A749" s="802"/>
      <c r="B749" s="802"/>
      <c r="C749" s="802"/>
      <c r="D749" s="1909"/>
      <c r="E749" s="1909"/>
      <c r="F749" s="1909"/>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2577</v>
      </c>
      <c r="C751" s="853"/>
      <c r="D751" s="1866" t="s">
        <v>1467</v>
      </c>
      <c r="E751" s="1866"/>
      <c r="F751" s="1866"/>
      <c r="G751" s="854"/>
    </row>
    <row r="752" spans="1:11" s="855" customFormat="1">
      <c r="A752" s="853"/>
      <c r="B752" s="853"/>
      <c r="C752" s="853"/>
      <c r="D752" s="1866"/>
      <c r="E752" s="1866"/>
      <c r="F752" s="1866"/>
      <c r="G752" s="854"/>
    </row>
    <row r="753" spans="1:11" s="855" customFormat="1">
      <c r="A753" s="853"/>
      <c r="B753" s="853"/>
      <c r="C753" s="853"/>
      <c r="D753" s="1866"/>
      <c r="E753" s="1866"/>
      <c r="F753" s="1866"/>
      <c r="G753" s="854"/>
    </row>
    <row r="754" spans="1:11" s="855" customFormat="1">
      <c r="A754" s="853"/>
      <c r="B754" s="853"/>
      <c r="C754" s="853"/>
      <c r="D754" s="1866"/>
      <c r="E754" s="1866"/>
      <c r="F754" s="1866"/>
      <c r="G754" s="854"/>
    </row>
    <row r="755" spans="1:11" s="855" customFormat="1">
      <c r="A755" s="853"/>
      <c r="B755" s="853"/>
      <c r="C755" s="853"/>
      <c r="D755" s="839"/>
      <c r="E755" s="854"/>
      <c r="F755" s="854"/>
      <c r="G755" s="854"/>
    </row>
    <row r="756" spans="1:11" s="855" customFormat="1" ht="14.4">
      <c r="A756" s="798"/>
      <c r="B756" s="1793" t="s">
        <v>2576</v>
      </c>
      <c r="C756" s="853"/>
      <c r="D756" s="2537" t="s">
        <v>1468</v>
      </c>
      <c r="E756" s="2537"/>
      <c r="F756" s="2537"/>
      <c r="G756" s="854"/>
    </row>
    <row r="757" spans="1:11" s="855" customFormat="1">
      <c r="A757" s="853"/>
      <c r="B757" s="853"/>
      <c r="C757" s="853"/>
      <c r="D757" s="2537"/>
      <c r="E757" s="2537"/>
      <c r="F757" s="2537"/>
      <c r="G757" s="854"/>
    </row>
    <row r="758" spans="1:11" s="855" customFormat="1">
      <c r="A758" s="853"/>
      <c r="B758" s="853"/>
      <c r="C758" s="853"/>
      <c r="D758" s="2537"/>
      <c r="E758" s="2537"/>
      <c r="F758" s="2537"/>
      <c r="G758" s="854"/>
    </row>
    <row r="759" spans="1:11">
      <c r="A759" s="802"/>
      <c r="B759" s="802"/>
      <c r="C759" s="802"/>
      <c r="D759" s="839"/>
      <c r="E759" s="851"/>
      <c r="F759" s="851"/>
      <c r="G759" s="850"/>
      <c r="H759" s="844"/>
      <c r="I759" s="844"/>
      <c r="J759" s="844"/>
      <c r="K759" s="844"/>
    </row>
    <row r="760" spans="1:11" ht="14.4">
      <c r="A760" s="798"/>
      <c r="B760" s="1793" t="s">
        <v>2577</v>
      </c>
      <c r="C760" s="802"/>
      <c r="D760" s="1866" t="s">
        <v>1410</v>
      </c>
      <c r="E760" s="1866"/>
      <c r="F760" s="1866"/>
      <c r="G760" s="850"/>
      <c r="H760" s="844"/>
      <c r="I760" s="844"/>
      <c r="J760" s="844"/>
      <c r="K760" s="844"/>
    </row>
    <row r="761" spans="1:11">
      <c r="A761" s="802"/>
      <c r="B761" s="802"/>
      <c r="C761" s="802"/>
      <c r="D761" s="1866"/>
      <c r="E761" s="1866"/>
      <c r="F761" s="1866"/>
      <c r="G761" s="850"/>
      <c r="H761" s="844"/>
      <c r="I761" s="844"/>
      <c r="J761" s="844"/>
      <c r="K761" s="844"/>
    </row>
    <row r="762" spans="1:11">
      <c r="A762" s="802"/>
      <c r="B762" s="802"/>
      <c r="C762" s="802"/>
      <c r="D762" s="782"/>
      <c r="E762" s="782"/>
      <c r="F762" s="782"/>
      <c r="G762" s="850"/>
      <c r="H762" s="844"/>
      <c r="I762" s="844"/>
      <c r="J762" s="844"/>
      <c r="K762" s="844"/>
    </row>
    <row r="763" spans="1:11">
      <c r="A763" s="802"/>
      <c r="B763" s="1793" t="s">
        <v>2577</v>
      </c>
      <c r="C763" s="802"/>
      <c r="D763" s="1866" t="s">
        <v>1432</v>
      </c>
      <c r="E763" s="1866"/>
      <c r="F763" s="1866"/>
      <c r="G763" s="850"/>
      <c r="H763" s="844"/>
      <c r="I763" s="844"/>
      <c r="J763" s="844"/>
      <c r="K763" s="844"/>
    </row>
    <row r="764" spans="1:11">
      <c r="A764" s="802"/>
      <c r="B764" s="802"/>
      <c r="C764" s="802"/>
      <c r="D764" s="1866"/>
      <c r="E764" s="1866"/>
      <c r="F764" s="1866"/>
      <c r="G764" s="850"/>
      <c r="H764" s="844"/>
      <c r="I764" s="844"/>
      <c r="J764" s="844"/>
      <c r="K764" s="844"/>
    </row>
    <row r="765" spans="1:11">
      <c r="A765" s="802"/>
      <c r="B765" s="802"/>
      <c r="C765" s="802"/>
      <c r="D765" s="1866"/>
      <c r="E765" s="1866"/>
      <c r="F765" s="1866"/>
      <c r="G765" s="850"/>
      <c r="H765" s="844"/>
      <c r="I765" s="844"/>
      <c r="J765" s="844"/>
      <c r="K765" s="844"/>
    </row>
    <row r="766" spans="1:11">
      <c r="A766" s="802"/>
      <c r="B766" s="802"/>
      <c r="C766" s="802"/>
      <c r="D766" s="782"/>
      <c r="E766" s="782"/>
      <c r="F766" s="782"/>
      <c r="G766" s="850"/>
      <c r="H766" s="844"/>
      <c r="I766" s="844"/>
      <c r="J766" s="844"/>
      <c r="K766" s="844"/>
    </row>
    <row r="767" spans="1:11">
      <c r="A767" s="2518" t="s">
        <v>2379</v>
      </c>
      <c r="B767" s="2518"/>
      <c r="C767" s="2518"/>
      <c r="D767" s="2518"/>
      <c r="E767" s="2518"/>
      <c r="F767" s="2518"/>
      <c r="G767" s="2518"/>
    </row>
    <row r="768" spans="1:11">
      <c r="A768" s="93"/>
      <c r="B768" s="93"/>
      <c r="C768" s="1739"/>
      <c r="D768" s="155"/>
      <c r="E768" s="155"/>
      <c r="F768" s="155"/>
      <c r="G768" s="687"/>
    </row>
    <row r="769" spans="1:7">
      <c r="A769" s="93"/>
      <c r="B769" s="93"/>
      <c r="C769" s="1739"/>
      <c r="D769" s="2519" t="s">
        <v>2446</v>
      </c>
      <c r="E769" s="2519"/>
      <c r="F769" s="2519"/>
      <c r="G769" s="687"/>
    </row>
    <row r="770" spans="1:7">
      <c r="A770" s="93"/>
      <c r="B770" s="93"/>
      <c r="C770" s="1739"/>
      <c r="D770" s="2520" t="s">
        <v>2282</v>
      </c>
      <c r="E770" s="2520"/>
      <c r="F770" s="2520"/>
      <c r="G770" s="687"/>
    </row>
    <row r="771" spans="1:7">
      <c r="A771" s="93"/>
      <c r="B771" s="93"/>
      <c r="C771" s="1739"/>
      <c r="D771" s="734"/>
      <c r="E771" s="734"/>
      <c r="F771" s="734"/>
      <c r="G771" s="687"/>
    </row>
    <row r="772" spans="1:7">
      <c r="A772" s="93"/>
      <c r="B772" s="1793" t="s">
        <v>2576</v>
      </c>
      <c r="C772" s="1739"/>
      <c r="D772" s="1893" t="s">
        <v>2283</v>
      </c>
      <c r="E772" s="1893"/>
      <c r="F772" s="1893"/>
      <c r="G772" s="687"/>
    </row>
    <row r="773" spans="1:7">
      <c r="A773" s="93"/>
      <c r="B773" s="93"/>
      <c r="C773" s="1739"/>
      <c r="D773" s="1893"/>
      <c r="E773" s="1893"/>
      <c r="F773" s="1893"/>
      <c r="G773" s="687"/>
    </row>
    <row r="774" spans="1:7">
      <c r="A774" s="721"/>
      <c r="B774" s="721"/>
      <c r="C774" s="314"/>
      <c r="D774" s="1893"/>
      <c r="E774" s="1893"/>
      <c r="F774" s="1893"/>
      <c r="G774" s="1740"/>
    </row>
    <row r="775" spans="1:7">
      <c r="A775" s="1733"/>
      <c r="B775" s="1733"/>
      <c r="C775" s="1741"/>
      <c r="D775" s="1716"/>
      <c r="E775" s="687"/>
      <c r="F775" s="687"/>
      <c r="G775" s="687"/>
    </row>
    <row r="776" spans="1:7">
      <c r="A776" s="267"/>
      <c r="B776" s="1793" t="s">
        <v>2577</v>
      </c>
      <c r="C776" s="1742"/>
      <c r="D776" s="1893" t="s">
        <v>2284</v>
      </c>
      <c r="E776" s="1893"/>
      <c r="F776" s="1893"/>
      <c r="G776" s="687"/>
    </row>
    <row r="777" spans="1:7">
      <c r="A777" s="1743"/>
      <c r="B777" s="1743"/>
      <c r="C777" s="1744"/>
      <c r="D777" s="1893"/>
      <c r="E777" s="1893"/>
      <c r="F777" s="1893"/>
      <c r="G777" s="687"/>
    </row>
    <row r="778" spans="1:7">
      <c r="A778" s="267"/>
      <c r="B778" s="267"/>
      <c r="C778" s="1742"/>
      <c r="D778" s="1893"/>
      <c r="E778" s="1893"/>
      <c r="F778" s="1893"/>
      <c r="G778" s="687"/>
    </row>
    <row r="779" spans="1:7">
      <c r="A779" s="721"/>
      <c r="B779" s="721"/>
      <c r="C779" s="314"/>
      <c r="D779" s="6"/>
      <c r="E779" s="1745"/>
      <c r="F779" s="1745"/>
      <c r="G779" s="1746"/>
    </row>
    <row r="780" spans="1:7" ht="14.4">
      <c r="A780" s="715"/>
      <c r="B780" s="1793" t="s">
        <v>2577</v>
      </c>
      <c r="C780" s="1747"/>
      <c r="D780" s="1893" t="s">
        <v>2285</v>
      </c>
      <c r="E780" s="1893"/>
      <c r="F780" s="1893"/>
      <c r="G780" s="1746"/>
    </row>
    <row r="781" spans="1:7" ht="14.4">
      <c r="A781" s="715"/>
      <c r="B781" s="715"/>
      <c r="C781" s="1747"/>
      <c r="D781" s="1893"/>
      <c r="E781" s="1893"/>
      <c r="F781" s="1893"/>
      <c r="G781" s="1746"/>
    </row>
    <row r="782" spans="1:7" ht="14.4">
      <c r="A782" s="715"/>
      <c r="B782" s="715"/>
      <c r="C782" s="1747"/>
      <c r="D782" s="1893"/>
      <c r="E782" s="1893"/>
      <c r="F782" s="1893"/>
      <c r="G782" s="1746"/>
    </row>
    <row r="783" spans="1:7" ht="14.4">
      <c r="A783" s="715"/>
      <c r="B783" s="715"/>
      <c r="C783" s="1747"/>
      <c r="D783" s="1713"/>
      <c r="E783" s="6"/>
      <c r="F783" s="6"/>
      <c r="G783" s="1746"/>
    </row>
    <row r="784" spans="1:7" ht="14.4">
      <c r="A784" s="715"/>
      <c r="B784" s="1793" t="s">
        <v>2577</v>
      </c>
      <c r="C784" s="1747"/>
      <c r="D784" s="1893" t="s">
        <v>2286</v>
      </c>
      <c r="E784" s="1893"/>
      <c r="F784" s="1893"/>
      <c r="G784" s="1746"/>
    </row>
    <row r="785" spans="1:7" ht="14.4">
      <c r="A785" s="715"/>
      <c r="B785" s="715"/>
      <c r="C785" s="1747"/>
      <c r="D785" s="1893"/>
      <c r="E785" s="1893"/>
      <c r="F785" s="1893"/>
      <c r="G785" s="1746"/>
    </row>
    <row r="786" spans="1:7" ht="14.4">
      <c r="A786" s="715"/>
      <c r="B786" s="715"/>
      <c r="C786" s="1747"/>
      <c r="D786" s="1893"/>
      <c r="E786" s="1893"/>
      <c r="F786" s="1893"/>
      <c r="G786" s="1746"/>
    </row>
    <row r="787" spans="1:7" ht="14.4">
      <c r="A787" s="715"/>
      <c r="B787" s="715"/>
      <c r="C787" s="1747"/>
      <c r="D787" s="1893"/>
      <c r="E787" s="1893"/>
      <c r="F787" s="1893"/>
      <c r="G787" s="1746"/>
    </row>
    <row r="788" spans="1:7" ht="14.4">
      <c r="A788" s="715"/>
      <c r="B788" s="715"/>
      <c r="C788" s="1747"/>
      <c r="D788" s="1893"/>
      <c r="E788" s="1893"/>
      <c r="F788" s="1893"/>
      <c r="G788" s="1746"/>
    </row>
    <row r="789" spans="1:7" ht="14.4">
      <c r="A789" s="715"/>
      <c r="B789" s="715"/>
      <c r="C789" s="1747"/>
      <c r="D789" s="1893"/>
      <c r="E789" s="1893"/>
      <c r="F789" s="1893"/>
      <c r="G789" s="1746"/>
    </row>
    <row r="790" spans="1:7" ht="14.4">
      <c r="A790" s="715"/>
      <c r="B790" s="715"/>
      <c r="C790" s="1747"/>
      <c r="D790" s="1893" t="s">
        <v>2380</v>
      </c>
      <c r="E790" s="1893"/>
      <c r="F790" s="1893"/>
      <c r="G790" s="1746"/>
    </row>
    <row r="791" spans="1:7" ht="14.4">
      <c r="A791" s="715"/>
      <c r="B791" s="715"/>
      <c r="C791" s="1747"/>
      <c r="D791" s="1893"/>
      <c r="E791" s="1893"/>
      <c r="F791" s="1893"/>
      <c r="G791" s="1746"/>
    </row>
    <row r="792" spans="1:7" ht="14.4">
      <c r="A792" s="715"/>
      <c r="B792" s="715"/>
      <c r="C792" s="1747"/>
      <c r="D792" s="1893"/>
      <c r="E792" s="1893"/>
      <c r="F792" s="1893"/>
      <c r="G792" s="1746"/>
    </row>
    <row r="793" spans="1:7" ht="14.4">
      <c r="A793" s="715"/>
      <c r="B793" s="557"/>
      <c r="C793" s="1747"/>
      <c r="D793" s="1748"/>
      <c r="E793" s="1748"/>
      <c r="F793" s="1748"/>
      <c r="G793" s="1746"/>
    </row>
    <row r="794" spans="1:7" ht="14.4">
      <c r="A794" s="715"/>
      <c r="B794" s="1793" t="s">
        <v>2577</v>
      </c>
      <c r="C794" s="1747"/>
      <c r="D794" s="1893" t="s">
        <v>2287</v>
      </c>
      <c r="E794" s="1893"/>
      <c r="F794" s="1893"/>
      <c r="G794" s="1746"/>
    </row>
    <row r="795" spans="1:7" ht="14.4">
      <c r="A795" s="715"/>
      <c r="B795" s="715"/>
      <c r="C795" s="1747"/>
      <c r="D795" s="1893"/>
      <c r="E795" s="1893"/>
      <c r="F795" s="1893"/>
      <c r="G795" s="1746"/>
    </row>
    <row r="796" spans="1:7" ht="14.4">
      <c r="A796" s="715"/>
      <c r="B796" s="715"/>
      <c r="C796" s="1747"/>
      <c r="D796" s="1893"/>
      <c r="E796" s="1893"/>
      <c r="F796" s="1893"/>
      <c r="G796" s="1746"/>
    </row>
    <row r="797" spans="1:7" ht="14.4">
      <c r="A797" s="715"/>
      <c r="B797" s="715"/>
      <c r="C797" s="1747"/>
      <c r="D797" s="1893"/>
      <c r="E797" s="1893"/>
      <c r="F797" s="1893"/>
      <c r="G797" s="1746"/>
    </row>
    <row r="798" spans="1:7" ht="14.4">
      <c r="A798" s="715"/>
      <c r="B798" s="715"/>
      <c r="C798" s="1747"/>
      <c r="D798" s="1893"/>
      <c r="E798" s="1893"/>
      <c r="F798" s="1893"/>
      <c r="G798" s="1746"/>
    </row>
    <row r="799" spans="1:7" ht="14.4">
      <c r="A799" s="715"/>
      <c r="B799" s="715"/>
      <c r="C799" s="1747"/>
      <c r="D799" s="1893"/>
      <c r="E799" s="1893"/>
      <c r="F799" s="1893"/>
      <c r="G799" s="1746"/>
    </row>
    <row r="800" spans="1:7" ht="14.4">
      <c r="A800" s="715"/>
      <c r="B800" s="715"/>
      <c r="C800" s="1747"/>
      <c r="D800" s="1724"/>
      <c r="E800" s="1724"/>
      <c r="F800" s="1724"/>
      <c r="G800" s="1746"/>
    </row>
    <row r="801" spans="1:7" ht="14.4">
      <c r="A801" s="715"/>
      <c r="B801" s="1793" t="s">
        <v>2577</v>
      </c>
      <c r="C801" s="1747"/>
      <c r="D801" s="1893" t="s">
        <v>2288</v>
      </c>
      <c r="E801" s="1893"/>
      <c r="F801" s="1893"/>
      <c r="G801" s="1746"/>
    </row>
    <row r="802" spans="1:7" ht="14.4">
      <c r="A802" s="715"/>
      <c r="B802" s="715"/>
      <c r="C802" s="1747"/>
      <c r="D802" s="1893"/>
      <c r="E802" s="1893"/>
      <c r="F802" s="1893"/>
      <c r="G802" s="1746"/>
    </row>
    <row r="803" spans="1:7" ht="14.4">
      <c r="A803" s="715"/>
      <c r="B803" s="715"/>
      <c r="C803" s="1747"/>
      <c r="D803" s="1893"/>
      <c r="E803" s="1893"/>
      <c r="F803" s="1893"/>
      <c r="G803" s="1746"/>
    </row>
    <row r="804" spans="1:7" ht="14.4">
      <c r="A804" s="715"/>
      <c r="B804" s="715"/>
      <c r="C804" s="1747"/>
      <c r="D804" s="1893"/>
      <c r="E804" s="1893"/>
      <c r="F804" s="1893"/>
      <c r="G804" s="1746"/>
    </row>
    <row r="805" spans="1:7" ht="14.4">
      <c r="A805" s="715"/>
      <c r="B805" s="715"/>
      <c r="C805" s="1747"/>
      <c r="D805" s="1893"/>
      <c r="E805" s="1893"/>
      <c r="F805" s="1893"/>
      <c r="G805" s="1746"/>
    </row>
    <row r="806" spans="1:7" ht="14.4">
      <c r="A806" s="715"/>
      <c r="B806" s="715"/>
      <c r="C806" s="1747"/>
      <c r="D806" s="1893"/>
      <c r="E806" s="1893"/>
      <c r="F806" s="1893"/>
      <c r="G806" s="1746"/>
    </row>
    <row r="807" spans="1:7" ht="14.4">
      <c r="A807" s="715"/>
      <c r="B807" s="715"/>
      <c r="C807" s="1747"/>
      <c r="D807" s="1724"/>
      <c r="E807" s="1724"/>
      <c r="F807" s="1724"/>
      <c r="G807" s="1746"/>
    </row>
    <row r="808" spans="1:7" ht="14.4">
      <c r="A808" s="715"/>
      <c r="B808" s="799" t="s">
        <v>2577</v>
      </c>
      <c r="C808" s="1747"/>
      <c r="D808" s="1906" t="s">
        <v>2289</v>
      </c>
      <c r="E808" s="1906"/>
      <c r="F808" s="1906"/>
      <c r="G808" s="1746"/>
    </row>
    <row r="809" spans="1:7" ht="14.4">
      <c r="A809" s="715"/>
      <c r="B809" s="715"/>
      <c r="C809" s="1747"/>
      <c r="D809" s="1906"/>
      <c r="E809" s="1906"/>
      <c r="F809" s="1906"/>
      <c r="G809" s="1746"/>
    </row>
    <row r="810" spans="1:7">
      <c r="A810" s="1732"/>
      <c r="B810" s="1732"/>
      <c r="C810" s="1747"/>
      <c r="D810" s="1906"/>
      <c r="E810" s="1906"/>
      <c r="F810" s="1906"/>
      <c r="G810" s="1746"/>
    </row>
    <row r="811" spans="1:7" ht="14.4">
      <c r="A811" s="715"/>
      <c r="B811" s="1732"/>
      <c r="C811" s="1747"/>
      <c r="D811" s="1906"/>
      <c r="E811" s="1906"/>
      <c r="F811" s="1906"/>
      <c r="G811" s="1746"/>
    </row>
    <row r="812" spans="1:7" ht="12.75" customHeight="1">
      <c r="A812" s="715"/>
      <c r="B812" s="1732"/>
      <c r="C812" s="1747"/>
      <c r="D812" s="1906"/>
      <c r="E812" s="1906"/>
      <c r="F812" s="1906"/>
      <c r="G812" s="1746"/>
    </row>
    <row r="813" spans="1:7" ht="12.75" customHeight="1">
      <c r="A813" s="715"/>
      <c r="B813" s="1732"/>
      <c r="C813" s="1747"/>
      <c r="D813" s="1906"/>
      <c r="E813" s="1906"/>
      <c r="F813" s="1906"/>
      <c r="G813" s="1746"/>
    </row>
    <row r="814" spans="1:7" ht="12.75" customHeight="1">
      <c r="A814" s="1732"/>
      <c r="B814" s="1732"/>
      <c r="C814" s="1747"/>
      <c r="D814" s="1745"/>
      <c r="E814" s="6"/>
      <c r="F814" s="6"/>
      <c r="G814" s="1746"/>
    </row>
    <row r="815" spans="1:7" ht="12.75" customHeight="1">
      <c r="A815" s="1883" t="s">
        <v>2290</v>
      </c>
      <c r="B815" s="1883"/>
      <c r="C815" s="1883"/>
      <c r="D815" s="1883"/>
      <c r="E815" s="1883"/>
      <c r="F815" s="1883"/>
      <c r="G815" s="1883"/>
    </row>
    <row r="816" spans="1:7" ht="12.75" customHeight="1">
      <c r="A816" s="1721"/>
      <c r="B816" s="1721"/>
      <c r="C816" s="1747"/>
      <c r="D816" s="1745"/>
      <c r="E816" s="1745"/>
      <c r="F816" s="1745"/>
      <c r="G816" s="1746"/>
    </row>
    <row r="817" spans="1:7" ht="12.75" customHeight="1">
      <c r="A817" s="715"/>
      <c r="B817" s="715"/>
      <c r="C817" s="557"/>
      <c r="D817" s="1890" t="s">
        <v>2381</v>
      </c>
      <c r="E817" s="1890"/>
      <c r="F817" s="1890"/>
      <c r="G817" s="679"/>
    </row>
    <row r="818" spans="1:7" ht="14.25" customHeight="1">
      <c r="A818" s="715"/>
      <c r="B818" s="715"/>
      <c r="C818" s="557"/>
      <c r="D818" s="1848" t="s">
        <v>2291</v>
      </c>
      <c r="E818" s="1848"/>
      <c r="F818" s="1848"/>
      <c r="G818" s="679"/>
    </row>
    <row r="819" spans="1:7" ht="12.75" customHeight="1">
      <c r="A819" s="715"/>
      <c r="B819" s="715"/>
      <c r="C819" s="557"/>
      <c r="D819" s="1707"/>
      <c r="E819" s="1707"/>
      <c r="F819" s="1707"/>
      <c r="G819" s="679"/>
    </row>
    <row r="820" spans="1:7" ht="12.75" customHeight="1">
      <c r="A820" s="1749"/>
      <c r="B820" s="799" t="s">
        <v>2576</v>
      </c>
      <c r="C820" s="1747"/>
      <c r="D820" s="1848" t="s">
        <v>2292</v>
      </c>
      <c r="E820" s="1848"/>
      <c r="F820" s="1848"/>
      <c r="G820" s="679"/>
    </row>
    <row r="821" spans="1:7" ht="14.25" customHeight="1">
      <c r="A821" s="1732"/>
      <c r="B821" s="1732"/>
      <c r="C821" s="1747"/>
      <c r="D821" s="5" t="s">
        <v>2268</v>
      </c>
      <c r="E821" s="1852" t="s">
        <v>2293</v>
      </c>
      <c r="F821" s="1852"/>
      <c r="G821" s="679"/>
    </row>
    <row r="822" spans="1:7" ht="12.75" customHeight="1">
      <c r="A822" s="1732"/>
      <c r="B822" s="1732"/>
      <c r="C822" s="1747"/>
      <c r="D822" s="1750"/>
      <c r="E822" s="6"/>
      <c r="F822" s="6"/>
      <c r="G822" s="679"/>
    </row>
    <row r="823" spans="1:7" ht="14.25" hidden="1" customHeight="1">
      <c r="A823" s="1732"/>
      <c r="B823" s="799" t="s">
        <v>318</v>
      </c>
      <c r="C823" s="1747"/>
      <c r="D823" s="2540" t="s">
        <v>2294</v>
      </c>
      <c r="E823" s="2540"/>
      <c r="F823" s="2540"/>
      <c r="G823" s="679"/>
    </row>
    <row r="824" spans="1:7" ht="12.75" hidden="1" customHeight="1">
      <c r="A824" s="1732"/>
      <c r="B824" s="1732"/>
      <c r="C824" s="1747"/>
      <c r="D824" s="2540"/>
      <c r="E824" s="2540"/>
      <c r="F824" s="2540"/>
      <c r="G824" s="679"/>
    </row>
    <row r="825" spans="1:7" ht="12.75" hidden="1" customHeight="1">
      <c r="A825" s="1732"/>
      <c r="B825" s="1732"/>
      <c r="C825" s="1747"/>
      <c r="D825" s="2540"/>
      <c r="E825" s="2540"/>
      <c r="F825" s="2540"/>
      <c r="G825" s="679"/>
    </row>
    <row r="826" spans="1:7" ht="12.75" hidden="1" customHeight="1">
      <c r="A826" s="1732"/>
      <c r="B826" s="1732"/>
      <c r="C826" s="1747"/>
      <c r="D826" s="2540"/>
      <c r="E826" s="2540"/>
      <c r="F826" s="2540"/>
      <c r="G826" s="679"/>
    </row>
    <row r="827" spans="1:7" ht="12.75" hidden="1" customHeight="1">
      <c r="A827" s="1732"/>
      <c r="B827" s="1732"/>
      <c r="C827" s="1747"/>
      <c r="D827" s="2540"/>
      <c r="E827" s="2540"/>
      <c r="F827" s="2540"/>
      <c r="G827" s="679"/>
    </row>
    <row r="828" spans="1:7" ht="12.75" hidden="1" customHeight="1">
      <c r="A828" s="1732"/>
      <c r="B828" s="1732"/>
      <c r="C828" s="1747"/>
      <c r="D828" s="2540"/>
      <c r="E828" s="2540"/>
      <c r="F828" s="2540"/>
      <c r="G828" s="679"/>
    </row>
    <row r="829" spans="1:7" ht="12.75" hidden="1" customHeight="1">
      <c r="A829" s="1732"/>
      <c r="B829" s="1732"/>
      <c r="C829" s="1747"/>
      <c r="D829" s="2540"/>
      <c r="E829" s="2540"/>
      <c r="F829" s="2540"/>
      <c r="G829" s="679"/>
    </row>
    <row r="830" spans="1:7" ht="12.75" hidden="1" customHeight="1">
      <c r="A830" s="1732"/>
      <c r="B830" s="1732"/>
      <c r="C830" s="1747"/>
      <c r="D830" s="2540"/>
      <c r="E830" s="2540"/>
      <c r="F830" s="2540"/>
      <c r="G830" s="679"/>
    </row>
    <row r="831" spans="1:7" ht="12.75" hidden="1" customHeight="1">
      <c r="A831" s="1732"/>
      <c r="B831" s="1732"/>
      <c r="C831" s="1747"/>
      <c r="D831" s="2540"/>
      <c r="E831" s="2540"/>
      <c r="F831" s="2540"/>
      <c r="G831" s="679"/>
    </row>
    <row r="832" spans="1:7" ht="12.75" hidden="1" customHeight="1">
      <c r="A832" s="1732"/>
      <c r="B832" s="1732"/>
      <c r="C832" s="1747"/>
      <c r="D832" s="2540"/>
      <c r="E832" s="2540"/>
      <c r="F832" s="2540"/>
      <c r="G832" s="679"/>
    </row>
    <row r="833" spans="1:7" ht="12.75" hidden="1" customHeight="1">
      <c r="A833" s="1732"/>
      <c r="B833" s="1732"/>
      <c r="C833" s="1747"/>
      <c r="D833" s="1750"/>
      <c r="E833" s="6"/>
      <c r="F833" s="6"/>
      <c r="G833" s="679"/>
    </row>
    <row r="834" spans="1:7" ht="12.75" customHeight="1">
      <c r="A834" s="715"/>
      <c r="B834" s="1793" t="s">
        <v>2576</v>
      </c>
      <c r="C834" s="1747"/>
      <c r="D834" s="1848" t="s">
        <v>2295</v>
      </c>
      <c r="E834" s="1848"/>
      <c r="F834" s="1848"/>
      <c r="G834" s="679"/>
    </row>
    <row r="835" spans="1:7" ht="12.75" customHeight="1">
      <c r="A835" s="715"/>
      <c r="B835" s="715"/>
      <c r="C835" s="1747"/>
      <c r="D835" s="1848"/>
      <c r="E835" s="1848"/>
      <c r="F835" s="1848"/>
      <c r="G835" s="679"/>
    </row>
    <row r="836" spans="1:7" ht="12.75" customHeight="1">
      <c r="A836" s="715"/>
      <c r="B836" s="715"/>
      <c r="C836" s="1747"/>
      <c r="D836" s="1848"/>
      <c r="E836" s="1848"/>
      <c r="F836" s="1848"/>
      <c r="G836" s="679"/>
    </row>
    <row r="837" spans="1:7" ht="12.75" customHeight="1">
      <c r="A837" s="404"/>
      <c r="B837" s="404"/>
      <c r="C837" s="1751"/>
      <c r="D837" s="1728"/>
      <c r="E837" s="679"/>
      <c r="F837" s="679"/>
      <c r="G837" s="679"/>
    </row>
    <row r="838" spans="1:7" ht="12.75" customHeight="1">
      <c r="A838" s="1752"/>
      <c r="B838" s="799" t="s">
        <v>2577</v>
      </c>
      <c r="C838" s="1751"/>
      <c r="D838" s="2541" t="s">
        <v>2296</v>
      </c>
      <c r="E838" s="2541"/>
      <c r="F838" s="2541"/>
      <c r="G838" s="679"/>
    </row>
    <row r="839" spans="1:7" ht="12.75" customHeight="1">
      <c r="A839" s="557"/>
      <c r="B839" s="1752"/>
      <c r="C839" s="1751"/>
      <c r="D839" s="2541"/>
      <c r="E839" s="2541"/>
      <c r="F839" s="2541"/>
      <c r="G839" s="679"/>
    </row>
    <row r="840" spans="1:7" ht="12.75" customHeight="1">
      <c r="A840" s="404"/>
      <c r="B840" s="557"/>
      <c r="C840" s="1751"/>
      <c r="D840" s="1850" t="s">
        <v>2297</v>
      </c>
      <c r="E840" s="1850"/>
      <c r="F840" s="1850"/>
      <c r="G840" s="679"/>
    </row>
    <row r="841" spans="1:7" ht="12.75" customHeight="1">
      <c r="A841" s="404"/>
      <c r="B841" s="404"/>
      <c r="C841" s="1751"/>
      <c r="D841" s="1850"/>
      <c r="E841" s="1850"/>
      <c r="F841" s="1850"/>
      <c r="G841" s="679"/>
    </row>
    <row r="842" spans="1:7" ht="12.75" customHeight="1">
      <c r="A842" s="404"/>
      <c r="B842" s="404"/>
      <c r="C842" s="1751"/>
      <c r="D842" s="1850"/>
      <c r="E842" s="1850"/>
      <c r="F842" s="1850"/>
      <c r="G842" s="679"/>
    </row>
    <row r="843" spans="1:7" ht="12.75" customHeight="1">
      <c r="A843" s="404"/>
      <c r="B843" s="404"/>
      <c r="C843" s="1751"/>
      <c r="D843" s="1850"/>
      <c r="E843" s="1850"/>
      <c r="F843" s="1850"/>
      <c r="G843" s="679"/>
    </row>
    <row r="844" spans="1:7" ht="12.75" customHeight="1">
      <c r="A844" s="404"/>
      <c r="B844" s="404"/>
      <c r="C844" s="1751"/>
      <c r="D844" s="1850"/>
      <c r="E844" s="1850"/>
      <c r="F844" s="1850"/>
      <c r="G844" s="679"/>
    </row>
    <row r="845" spans="1:7" ht="12.75" customHeight="1">
      <c r="A845" s="404"/>
      <c r="B845" s="404"/>
      <c r="C845" s="1751"/>
      <c r="D845" s="1850"/>
      <c r="E845" s="1850"/>
      <c r="F845" s="1850"/>
      <c r="G845" s="679"/>
    </row>
    <row r="846" spans="1:7" ht="12.75" customHeight="1">
      <c r="A846" s="404"/>
      <c r="B846" s="404"/>
      <c r="C846" s="1751"/>
      <c r="D846" s="1728"/>
      <c r="E846" s="679"/>
      <c r="F846" s="679"/>
      <c r="G846" s="679"/>
    </row>
    <row r="847" spans="1:7" ht="12.75" customHeight="1">
      <c r="A847" s="404"/>
      <c r="B847" s="799" t="s">
        <v>2577</v>
      </c>
      <c r="C847" s="1751"/>
      <c r="D847" s="1850" t="s">
        <v>2298</v>
      </c>
      <c r="E847" s="1850"/>
      <c r="F847" s="1850"/>
      <c r="G847" s="679"/>
    </row>
    <row r="848" spans="1:7" ht="12.75" customHeight="1">
      <c r="A848" s="404"/>
      <c r="B848" s="404"/>
      <c r="C848" s="1751"/>
      <c r="D848" s="1850" t="s">
        <v>2299</v>
      </c>
      <c r="E848" s="1850"/>
      <c r="F848" s="1850"/>
      <c r="G848" s="679"/>
    </row>
    <row r="849" spans="1:7" ht="12.75" customHeight="1">
      <c r="A849" s="404"/>
      <c r="B849" s="404"/>
      <c r="C849" s="1751"/>
      <c r="D849" s="183" t="s">
        <v>2265</v>
      </c>
      <c r="E849" s="2542" t="s">
        <v>2300</v>
      </c>
      <c r="F849" s="2542"/>
      <c r="G849" s="679"/>
    </row>
    <row r="850" spans="1:7" ht="12.75" customHeight="1">
      <c r="A850" s="404"/>
      <c r="B850" s="404"/>
      <c r="C850" s="1751"/>
      <c r="D850" s="1728"/>
      <c r="E850" s="679"/>
      <c r="F850" s="679"/>
      <c r="G850" s="679"/>
    </row>
    <row r="851" spans="1:7" ht="12.75" customHeight="1">
      <c r="A851" s="404"/>
      <c r="B851" s="799" t="s">
        <v>2577</v>
      </c>
      <c r="C851" s="1751"/>
      <c r="D851" s="1850" t="s">
        <v>2301</v>
      </c>
      <c r="E851" s="1850"/>
      <c r="F851" s="1850"/>
      <c r="G851" s="679"/>
    </row>
    <row r="852" spans="1:7" ht="12.75" customHeight="1">
      <c r="A852" s="404"/>
      <c r="B852" s="404"/>
      <c r="C852" s="1751"/>
      <c r="D852" s="1850"/>
      <c r="E852" s="1850"/>
      <c r="F852" s="1850"/>
      <c r="G852" s="679"/>
    </row>
    <row r="853" spans="1:7" ht="12.75" customHeight="1">
      <c r="A853" s="404"/>
      <c r="B853" s="404"/>
      <c r="C853" s="1751"/>
      <c r="D853" s="1850"/>
      <c r="E853" s="1850"/>
      <c r="F853" s="1850"/>
      <c r="G853" s="679"/>
    </row>
    <row r="854" spans="1:7" ht="12.75" customHeight="1">
      <c r="A854" s="404"/>
      <c r="B854" s="404"/>
      <c r="C854" s="1751"/>
      <c r="D854" s="1850"/>
      <c r="E854" s="1850"/>
      <c r="F854" s="1850"/>
      <c r="G854" s="679"/>
    </row>
    <row r="855" spans="1:7" ht="12.75" customHeight="1">
      <c r="A855" s="1721"/>
      <c r="B855" s="1721"/>
      <c r="C855" s="1753"/>
      <c r="D855" s="1713"/>
      <c r="E855" s="6"/>
      <c r="F855" s="6"/>
      <c r="G855" s="679"/>
    </row>
    <row r="856" spans="1:7" ht="12.75" customHeight="1">
      <c r="A856" s="1727" t="s">
        <v>2302</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2" t="s">
        <v>2382</v>
      </c>
      <c r="E858" s="1872"/>
      <c r="F858" s="1872"/>
      <c r="G858" s="1746"/>
    </row>
    <row r="859" spans="1:7" ht="12.75" customHeight="1">
      <c r="A859" s="1749"/>
      <c r="B859" s="1749"/>
      <c r="C859" s="314"/>
      <c r="D859" s="2543" t="s">
        <v>2303</v>
      </c>
      <c r="E859" s="2543"/>
      <c r="F859" s="2543"/>
      <c r="G859" s="1746"/>
    </row>
    <row r="860" spans="1:7" ht="12.75" customHeight="1">
      <c r="A860" s="1749"/>
      <c r="B860" s="1749"/>
      <c r="C860" s="314"/>
      <c r="D860" s="1757"/>
      <c r="E860" s="1757"/>
      <c r="F860" s="1757"/>
      <c r="G860" s="1746"/>
    </row>
    <row r="861" spans="1:7" ht="12.75" customHeight="1">
      <c r="A861" s="715"/>
      <c r="B861" s="799" t="s">
        <v>2576</v>
      </c>
      <c r="C861" s="557"/>
      <c r="D861" s="1873" t="s">
        <v>2304</v>
      </c>
      <c r="E861" s="1873"/>
      <c r="F861" s="1873"/>
      <c r="G861" s="1746"/>
    </row>
    <row r="862" spans="1:7" ht="12.75" customHeight="1">
      <c r="A862" s="1749"/>
      <c r="B862" s="1749"/>
      <c r="C862" s="557"/>
      <c r="D862" s="5" t="s">
        <v>2265</v>
      </c>
      <c r="E862" s="2545" t="s">
        <v>2300</v>
      </c>
      <c r="F862" s="2545"/>
      <c r="G862" s="1746"/>
    </row>
    <row r="863" spans="1:7" ht="12.75" customHeight="1">
      <c r="A863" s="1749"/>
      <c r="B863" s="1749"/>
      <c r="C863" s="557"/>
      <c r="D863" s="1713"/>
      <c r="E863" s="1745"/>
      <c r="F863" s="1745"/>
      <c r="G863" s="1746"/>
    </row>
    <row r="864" spans="1:7" ht="12.75" customHeight="1">
      <c r="A864" s="715"/>
      <c r="B864" s="799" t="s">
        <v>2576</v>
      </c>
      <c r="C864" s="557"/>
      <c r="D864" s="1848" t="s">
        <v>2305</v>
      </c>
      <c r="E864" s="1922"/>
      <c r="F864" s="1922"/>
      <c r="G864" s="679"/>
    </row>
    <row r="865" spans="1:7" ht="12.75" customHeight="1">
      <c r="A865" s="1749"/>
      <c r="B865" s="1749"/>
      <c r="C865" s="557"/>
      <c r="D865" s="1922"/>
      <c r="E865" s="1922"/>
      <c r="F865" s="1922"/>
      <c r="G865" s="679"/>
    </row>
    <row r="866" spans="1:7" ht="12.75" customHeight="1">
      <c r="A866" s="1749"/>
      <c r="B866" s="1749"/>
      <c r="C866" s="557"/>
      <c r="D866" s="1713"/>
      <c r="E866" s="6"/>
      <c r="F866" s="6"/>
      <c r="G866" s="679"/>
    </row>
    <row r="867" spans="1:7" ht="12.75" customHeight="1">
      <c r="A867" s="557"/>
      <c r="B867" s="799" t="s">
        <v>2577</v>
      </c>
      <c r="C867" s="558"/>
      <c r="D867" s="2546" t="s">
        <v>2306</v>
      </c>
      <c r="E867" s="2546"/>
      <c r="F867" s="2546"/>
      <c r="G867" s="1746"/>
    </row>
    <row r="868" spans="1:7" ht="12.75" customHeight="1">
      <c r="A868" s="557"/>
      <c r="B868" s="1758"/>
      <c r="C868" s="558"/>
      <c r="D868" s="2546"/>
      <c r="E868" s="2546"/>
      <c r="F868" s="2546"/>
      <c r="G868" s="1746"/>
    </row>
    <row r="869" spans="1:7" ht="12.75" customHeight="1">
      <c r="A869" s="715"/>
      <c r="B869" s="678"/>
      <c r="C869" s="557"/>
      <c r="D869" s="1850" t="s">
        <v>2297</v>
      </c>
      <c r="E869" s="1850"/>
      <c r="F869" s="1850"/>
      <c r="G869" s="1746"/>
    </row>
    <row r="870" spans="1:7" ht="12.75" customHeight="1">
      <c r="A870" s="715"/>
      <c r="B870" s="715"/>
      <c r="C870" s="557"/>
      <c r="D870" s="1850"/>
      <c r="E870" s="1850"/>
      <c r="F870" s="1850"/>
      <c r="G870" s="1746"/>
    </row>
    <row r="871" spans="1:7" ht="12.75" customHeight="1">
      <c r="A871" s="715"/>
      <c r="B871" s="715"/>
      <c r="C871" s="557"/>
      <c r="D871" s="1850"/>
      <c r="E871" s="1850"/>
      <c r="F871" s="1850"/>
      <c r="G871" s="1746"/>
    </row>
    <row r="872" spans="1:7" ht="12.75" customHeight="1">
      <c r="A872" s="715"/>
      <c r="B872" s="715"/>
      <c r="C872" s="557"/>
      <c r="D872" s="1850"/>
      <c r="E872" s="1850"/>
      <c r="F872" s="1850"/>
      <c r="G872" s="1746"/>
    </row>
    <row r="873" spans="1:7" ht="12.75" customHeight="1">
      <c r="A873" s="715"/>
      <c r="B873" s="715"/>
      <c r="C873" s="557"/>
      <c r="D873" s="1850"/>
      <c r="E873" s="1850"/>
      <c r="F873" s="1850"/>
      <c r="G873" s="1746"/>
    </row>
    <row r="874" spans="1:7" ht="12.75" customHeight="1">
      <c r="A874" s="715"/>
      <c r="B874" s="715"/>
      <c r="C874" s="557"/>
      <c r="D874" s="1850"/>
      <c r="E874" s="1850"/>
      <c r="F874" s="1850"/>
      <c r="G874" s="1746"/>
    </row>
    <row r="875" spans="1:7" ht="12.75" customHeight="1">
      <c r="A875" s="715"/>
      <c r="B875" s="715"/>
      <c r="C875" s="557"/>
      <c r="D875" s="1713"/>
      <c r="E875" s="1745"/>
      <c r="F875" s="1745"/>
      <c r="G875" s="1746"/>
    </row>
    <row r="876" spans="1:7" ht="12.75" customHeight="1">
      <c r="A876" s="715"/>
      <c r="B876" s="1793" t="s">
        <v>2577</v>
      </c>
      <c r="C876" s="557"/>
      <c r="D876" s="1877" t="s">
        <v>2298</v>
      </c>
      <c r="E876" s="1877"/>
      <c r="F876" s="1877"/>
      <c r="G876" s="1746"/>
    </row>
    <row r="877" spans="1:7" ht="12.75" customHeight="1">
      <c r="A877" s="715"/>
      <c r="B877" s="715"/>
      <c r="C877" s="557"/>
      <c r="D877" s="1877" t="s">
        <v>2299</v>
      </c>
      <c r="E877" s="1877"/>
      <c r="F877" s="1877"/>
      <c r="G877" s="1746"/>
    </row>
    <row r="878" spans="1:7" ht="12.75" customHeight="1">
      <c r="A878" s="715"/>
      <c r="B878" s="715"/>
      <c r="C878" s="557"/>
      <c r="D878" s="5" t="s">
        <v>1513</v>
      </c>
      <c r="E878" s="2547" t="s">
        <v>2300</v>
      </c>
      <c r="F878" s="2547"/>
      <c r="G878" s="1746"/>
    </row>
    <row r="879" spans="1:7" ht="12.75" customHeight="1">
      <c r="A879" s="715"/>
      <c r="B879" s="715"/>
      <c r="C879" s="557"/>
      <c r="D879" s="1713"/>
      <c r="E879" s="1745"/>
      <c r="F879" s="1745"/>
      <c r="G879" s="1746"/>
    </row>
    <row r="880" spans="1:7" ht="12.75" customHeight="1">
      <c r="A880" s="715"/>
      <c r="B880" s="1793" t="s">
        <v>2577</v>
      </c>
      <c r="C880" s="557"/>
      <c r="D880" s="1848" t="s">
        <v>2301</v>
      </c>
      <c r="E880" s="1848"/>
      <c r="F880" s="1848"/>
      <c r="G880" s="1746"/>
    </row>
    <row r="881" spans="1:7" ht="12.75" customHeight="1">
      <c r="A881" s="715"/>
      <c r="B881" s="715"/>
      <c r="C881" s="557"/>
      <c r="D881" s="1848"/>
      <c r="E881" s="1848"/>
      <c r="F881" s="1848"/>
      <c r="G881" s="1746"/>
    </row>
    <row r="882" spans="1:7" ht="12.75" customHeight="1">
      <c r="A882" s="715"/>
      <c r="B882" s="715"/>
      <c r="C882" s="557"/>
      <c r="D882" s="1848"/>
      <c r="E882" s="1848"/>
      <c r="F882" s="1848"/>
      <c r="G882" s="1746"/>
    </row>
    <row r="883" spans="1:7" ht="12.75" customHeight="1">
      <c r="A883" s="715"/>
      <c r="B883" s="715"/>
      <c r="C883" s="557"/>
      <c r="D883" s="1848"/>
      <c r="E883" s="1848"/>
      <c r="F883" s="1848"/>
      <c r="G883" s="1746"/>
    </row>
    <row r="884" spans="1:7" ht="12.75" customHeight="1">
      <c r="A884" s="1714"/>
      <c r="B884" s="1714"/>
      <c r="C884" s="1747"/>
      <c r="D884" s="1745"/>
      <c r="E884" s="1745"/>
      <c r="F884" s="1745"/>
      <c r="G884" s="1746"/>
    </row>
    <row r="885" spans="1:7" ht="12.75" customHeight="1">
      <c r="A885" s="1883" t="s">
        <v>2383</v>
      </c>
      <c r="B885" s="1883"/>
      <c r="C885" s="1883"/>
      <c r="D885" s="1883"/>
      <c r="E885" s="1883"/>
      <c r="F885" s="1883"/>
      <c r="G885" s="1883"/>
    </row>
    <row r="886" spans="1:7" s="1790" customFormat="1" ht="12.75" customHeight="1">
      <c r="A886" s="93"/>
      <c r="B886" s="93"/>
      <c r="C886" s="93"/>
      <c r="D886" s="93"/>
      <c r="E886" s="93"/>
      <c r="F886" s="93"/>
      <c r="G886" s="93"/>
    </row>
    <row r="887" spans="1:7" s="1790" customFormat="1" ht="12.75" customHeight="1">
      <c r="A887" s="93"/>
      <c r="B887" s="93"/>
      <c r="C887" s="93"/>
      <c r="D887" s="1892" t="s">
        <v>2389</v>
      </c>
      <c r="E887" s="1892"/>
      <c r="F887" s="1892"/>
      <c r="G887" s="93"/>
    </row>
    <row r="888" spans="1:7" s="1790" customFormat="1" ht="12.75" customHeight="1">
      <c r="A888" s="93"/>
      <c r="B888" s="93"/>
      <c r="C888" s="93"/>
      <c r="D888" s="1723"/>
      <c r="E888" s="1723"/>
      <c r="F888" s="1723"/>
      <c r="G888" s="93"/>
    </row>
    <row r="889" spans="1:7" s="1790" customFormat="1" ht="12.75" customHeight="1">
      <c r="A889" s="93"/>
      <c r="B889" s="1793" t="s">
        <v>2576</v>
      </c>
      <c r="C889" s="93"/>
      <c r="D889" s="1729" t="s">
        <v>2390</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2" t="s">
        <v>2384</v>
      </c>
      <c r="E891" s="1892"/>
      <c r="F891" s="1892"/>
      <c r="G891" s="1746"/>
    </row>
    <row r="892" spans="1:7" ht="12.75" customHeight="1">
      <c r="A892" s="1721"/>
      <c r="B892" s="1721"/>
      <c r="C892" s="1753"/>
      <c r="D892" s="1873" t="s">
        <v>2307</v>
      </c>
      <c r="E892" s="1873"/>
      <c r="F892" s="1873"/>
      <c r="G892" s="1746"/>
    </row>
    <row r="893" spans="1:7" ht="12.75" customHeight="1">
      <c r="A893" s="1721"/>
      <c r="B893" s="1721"/>
      <c r="C893" s="1753"/>
      <c r="D893" s="6"/>
      <c r="E893" s="6"/>
      <c r="F893" s="1745"/>
      <c r="G893" s="1746"/>
    </row>
    <row r="894" spans="1:7" ht="12.75" customHeight="1">
      <c r="A894" s="404"/>
      <c r="B894" s="1793" t="s">
        <v>2577</v>
      </c>
      <c r="C894" s="487"/>
      <c r="D894" s="2542" t="s">
        <v>2308</v>
      </c>
      <c r="E894" s="2542"/>
      <c r="F894" s="2542"/>
      <c r="G894" s="1746"/>
    </row>
    <row r="895" spans="1:7" ht="12.75" customHeight="1">
      <c r="A895" s="404"/>
      <c r="B895" s="404"/>
      <c r="C895" s="487"/>
      <c r="D895" s="2542"/>
      <c r="E895" s="2542"/>
      <c r="F895" s="2542"/>
      <c r="G895" s="1746"/>
    </row>
    <row r="896" spans="1:7" ht="12.75" customHeight="1">
      <c r="A896" s="404"/>
      <c r="B896" s="404"/>
      <c r="C896" s="487"/>
      <c r="D896" s="2542"/>
      <c r="E896" s="2542"/>
      <c r="F896" s="2542"/>
      <c r="G896" s="1746"/>
    </row>
    <row r="897" spans="1:7" ht="12.75" customHeight="1">
      <c r="A897" s="404"/>
      <c r="B897" s="404"/>
      <c r="C897" s="487"/>
      <c r="D897" s="2542"/>
      <c r="E897" s="2542"/>
      <c r="F897" s="2542"/>
      <c r="G897" s="1746"/>
    </row>
    <row r="898" spans="1:7" ht="12.75" customHeight="1">
      <c r="A898" s="488"/>
      <c r="B898" s="488"/>
      <c r="C898" s="487"/>
      <c r="D898" s="2542"/>
      <c r="E898" s="2542"/>
      <c r="F898" s="2542"/>
      <c r="G898" s="1746"/>
    </row>
    <row r="899" spans="1:7" ht="12.75" customHeight="1">
      <c r="A899" s="488"/>
      <c r="B899" s="488"/>
      <c r="C899" s="487"/>
      <c r="D899" s="2542"/>
      <c r="E899" s="2542"/>
      <c r="F899" s="2542"/>
      <c r="G899" s="1746"/>
    </row>
    <row r="900" spans="1:7" ht="12.75" customHeight="1">
      <c r="A900" s="488"/>
      <c r="B900" s="488"/>
      <c r="C900" s="487"/>
      <c r="D900" s="2542"/>
      <c r="E900" s="2542"/>
      <c r="F900" s="2542"/>
      <c r="G900" s="1746"/>
    </row>
    <row r="901" spans="1:7" ht="12.75" customHeight="1">
      <c r="A901" s="488"/>
      <c r="B901" s="488"/>
      <c r="C901" s="487"/>
      <c r="D901" s="183"/>
      <c r="E901" s="679"/>
      <c r="F901" s="1746"/>
      <c r="G901" s="1746"/>
    </row>
    <row r="902" spans="1:7" ht="12.75" customHeight="1">
      <c r="A902" s="1759"/>
      <c r="B902" s="1793" t="s">
        <v>2577</v>
      </c>
      <c r="C902" s="1760"/>
      <c r="D902" s="2542" t="s">
        <v>2309</v>
      </c>
      <c r="E902" s="2542"/>
      <c r="F902" s="2542"/>
      <c r="G902" s="1761"/>
    </row>
    <row r="903" spans="1:7" ht="12.75" customHeight="1">
      <c r="A903" s="1759"/>
      <c r="B903" s="1759"/>
      <c r="C903" s="1760"/>
      <c r="D903" s="2542"/>
      <c r="E903" s="2542"/>
      <c r="F903" s="2542"/>
      <c r="G903" s="1761"/>
    </row>
    <row r="904" spans="1:7" ht="12.75" customHeight="1">
      <c r="A904" s="1759"/>
      <c r="B904" s="1759"/>
      <c r="C904" s="1760"/>
      <c r="D904" s="2542"/>
      <c r="E904" s="2542"/>
      <c r="F904" s="2542"/>
      <c r="G904" s="1761"/>
    </row>
    <row r="905" spans="1:7" ht="12.75" customHeight="1">
      <c r="A905" s="1759"/>
      <c r="B905" s="1759"/>
      <c r="C905" s="1760"/>
      <c r="D905" s="2542"/>
      <c r="E905" s="2542"/>
      <c r="F905" s="2542"/>
      <c r="G905" s="1761"/>
    </row>
    <row r="906" spans="1:7" ht="12.75" customHeight="1">
      <c r="A906" s="1759"/>
      <c r="B906" s="1759"/>
      <c r="C906" s="1760"/>
      <c r="D906" s="2542"/>
      <c r="E906" s="2542"/>
      <c r="F906" s="2542"/>
      <c r="G906" s="1761"/>
    </row>
    <row r="907" spans="1:7" ht="12.75" customHeight="1">
      <c r="A907" s="1759"/>
      <c r="B907" s="1759"/>
      <c r="C907" s="1760"/>
      <c r="D907" s="2542"/>
      <c r="E907" s="2542"/>
      <c r="F907" s="2542"/>
      <c r="G907" s="1761"/>
    </row>
    <row r="908" spans="1:7" ht="12.75" customHeight="1">
      <c r="A908" s="1759"/>
      <c r="B908" s="1759"/>
      <c r="C908" s="1760"/>
      <c r="D908" s="2542"/>
      <c r="E908" s="2542"/>
      <c r="F908" s="2542"/>
      <c r="G908" s="1761"/>
    </row>
    <row r="909" spans="1:7" ht="12.75" customHeight="1">
      <c r="A909" s="1759"/>
      <c r="B909" s="1759"/>
      <c r="C909" s="1760"/>
      <c r="D909" s="2542"/>
      <c r="E909" s="2542"/>
      <c r="F909" s="2542"/>
      <c r="G909" s="1761"/>
    </row>
    <row r="910" spans="1:7" ht="12.75" customHeight="1">
      <c r="A910" s="1759"/>
      <c r="B910" s="1759"/>
      <c r="C910" s="1760"/>
      <c r="D910" s="2542"/>
      <c r="E910" s="2542"/>
      <c r="F910" s="2542"/>
      <c r="G910" s="1761"/>
    </row>
    <row r="911" spans="1:7" ht="12.75" customHeight="1">
      <c r="A911" s="488"/>
      <c r="B911" s="488"/>
      <c r="C911" s="487"/>
      <c r="D911" s="183"/>
      <c r="E911" s="679"/>
      <c r="F911" s="1746"/>
      <c r="G911" s="1746"/>
    </row>
    <row r="912" spans="1:7" ht="12.75" customHeight="1">
      <c r="A912" s="404"/>
      <c r="B912" s="1793" t="s">
        <v>2577</v>
      </c>
      <c r="C912" s="487"/>
      <c r="D912" s="2544" t="s">
        <v>2310</v>
      </c>
      <c r="E912" s="2544"/>
      <c r="F912" s="2544"/>
      <c r="G912" s="1746"/>
    </row>
    <row r="913" spans="1:7" ht="12.75" customHeight="1">
      <c r="A913" s="404"/>
      <c r="B913" s="404"/>
      <c r="C913" s="487"/>
      <c r="D913" s="2544"/>
      <c r="E913" s="2544"/>
      <c r="F913" s="2544"/>
      <c r="G913" s="1746"/>
    </row>
    <row r="914" spans="1:7" ht="12.75" customHeight="1">
      <c r="A914" s="404"/>
      <c r="B914" s="404"/>
      <c r="C914" s="487"/>
      <c r="D914" s="2544"/>
      <c r="E914" s="2544"/>
      <c r="F914" s="2544"/>
      <c r="G914" s="1746"/>
    </row>
    <row r="915" spans="1:7" ht="12.75" customHeight="1">
      <c r="A915" s="404"/>
      <c r="B915" s="404"/>
      <c r="C915" s="487"/>
      <c r="D915" s="2544"/>
      <c r="E915" s="2544"/>
      <c r="F915" s="2544"/>
      <c r="G915" s="1746"/>
    </row>
    <row r="916" spans="1:7" ht="12.75" customHeight="1">
      <c r="A916" s="404"/>
      <c r="B916" s="404"/>
      <c r="C916" s="487"/>
      <c r="D916" s="2544"/>
      <c r="E916" s="2544"/>
      <c r="F916" s="2544"/>
      <c r="G916" s="1746"/>
    </row>
    <row r="917" spans="1:7" ht="12.75" customHeight="1">
      <c r="A917" s="404"/>
      <c r="B917" s="404"/>
      <c r="C917" s="487"/>
      <c r="D917" s="2544"/>
      <c r="E917" s="2544"/>
      <c r="F917" s="2544"/>
      <c r="G917" s="1746"/>
    </row>
    <row r="918" spans="1:7" ht="12.75" customHeight="1">
      <c r="A918" s="404"/>
      <c r="B918" s="404"/>
      <c r="C918" s="487"/>
      <c r="D918" s="2544"/>
      <c r="E918" s="2544"/>
      <c r="F918" s="2544"/>
      <c r="G918" s="1746"/>
    </row>
    <row r="919" spans="1:7" ht="12.75" customHeight="1">
      <c r="A919" s="404"/>
      <c r="B919" s="404"/>
      <c r="C919" s="487"/>
      <c r="D919" s="1762"/>
      <c r="E919" s="679"/>
      <c r="F919" s="1746"/>
      <c r="G919" s="1746"/>
    </row>
    <row r="920" spans="1:7" ht="12.75" customHeight="1">
      <c r="A920" s="404"/>
      <c r="B920" s="1793" t="s">
        <v>2577</v>
      </c>
      <c r="C920" s="487"/>
      <c r="D920" s="2542" t="s">
        <v>2311</v>
      </c>
      <c r="E920" s="2542"/>
      <c r="F920" s="2542"/>
      <c r="G920" s="1746"/>
    </row>
    <row r="921" spans="1:7" ht="12.75" customHeight="1">
      <c r="A921" s="404"/>
      <c r="B921" s="404"/>
      <c r="C921" s="487"/>
      <c r="D921" s="2542"/>
      <c r="E921" s="2542"/>
      <c r="F921" s="2542"/>
      <c r="G921" s="1746"/>
    </row>
    <row r="922" spans="1:7" ht="12.75" customHeight="1">
      <c r="A922" s="404"/>
      <c r="B922" s="404"/>
      <c r="C922" s="487"/>
      <c r="D922" s="2542"/>
      <c r="E922" s="2542"/>
      <c r="F922" s="2542"/>
      <c r="G922" s="1746"/>
    </row>
    <row r="923" spans="1:7" ht="12.75" customHeight="1">
      <c r="A923" s="404"/>
      <c r="B923" s="404"/>
      <c r="C923" s="487"/>
      <c r="D923" s="2542"/>
      <c r="E923" s="2542"/>
      <c r="F923" s="2542"/>
      <c r="G923" s="1746"/>
    </row>
    <row r="924" spans="1:7" ht="12.75" customHeight="1">
      <c r="A924" s="404"/>
      <c r="B924" s="404"/>
      <c r="C924" s="487"/>
      <c r="D924" s="183"/>
      <c r="E924" s="679"/>
      <c r="F924" s="1746"/>
      <c r="G924" s="1746"/>
    </row>
    <row r="925" spans="1:7" ht="12.75" customHeight="1">
      <c r="A925" s="1732"/>
      <c r="B925" s="1732"/>
      <c r="C925" s="1747"/>
      <c r="D925" s="1848" t="s">
        <v>2312</v>
      </c>
      <c r="E925" s="1848"/>
      <c r="F925" s="1848"/>
      <c r="G925" s="1746"/>
    </row>
    <row r="926" spans="1:7" ht="12.75" customHeight="1">
      <c r="A926" s="1763"/>
      <c r="B926" s="1763"/>
      <c r="C926" s="1747"/>
      <c r="D926" s="1848"/>
      <c r="E926" s="1848"/>
      <c r="F926" s="1848"/>
      <c r="G926" s="1746"/>
    </row>
    <row r="927" spans="1:7" ht="12.75" customHeight="1">
      <c r="A927" s="1763"/>
      <c r="B927" s="1763"/>
      <c r="C927" s="1747"/>
      <c r="D927" s="5"/>
      <c r="E927" s="1745"/>
      <c r="F927" s="1745"/>
      <c r="G927" s="1746"/>
    </row>
    <row r="928" spans="1:7" ht="12.75" customHeight="1">
      <c r="A928" s="715"/>
      <c r="B928" s="1793" t="s">
        <v>2577</v>
      </c>
      <c r="C928" s="557"/>
      <c r="D928" s="1848" t="s">
        <v>2313</v>
      </c>
      <c r="E928" s="1848"/>
      <c r="F928" s="1848"/>
      <c r="G928" s="679"/>
    </row>
    <row r="929" spans="1:7" ht="12.75" customHeight="1">
      <c r="A929" s="1749"/>
      <c r="B929" s="1749"/>
      <c r="C929" s="557"/>
      <c r="D929" s="1848"/>
      <c r="E929" s="1848"/>
      <c r="F929" s="1848"/>
      <c r="G929" s="679"/>
    </row>
    <row r="930" spans="1:7" ht="12.75" customHeight="1">
      <c r="A930" s="1763"/>
      <c r="B930" s="1763"/>
      <c r="C930" s="1747"/>
      <c r="D930" s="5"/>
      <c r="E930" s="1745"/>
      <c r="F930" s="1745"/>
      <c r="G930" s="1746"/>
    </row>
    <row r="931" spans="1:7" ht="12.75" customHeight="1">
      <c r="A931" s="721"/>
      <c r="B931" s="721"/>
      <c r="C931" s="314"/>
      <c r="D931" s="1892" t="s">
        <v>2314</v>
      </c>
      <c r="E931" s="1892"/>
      <c r="F931" s="1892"/>
      <c r="G931" s="1746"/>
    </row>
    <row r="932" spans="1:7" ht="12.75" customHeight="1">
      <c r="A932" s="721"/>
      <c r="B932" s="721"/>
      <c r="C932" s="314"/>
      <c r="D932" s="1717"/>
      <c r="E932" s="6"/>
      <c r="F932" s="1745"/>
      <c r="G932" s="1746"/>
    </row>
    <row r="933" spans="1:7" ht="12.75" customHeight="1">
      <c r="A933" s="715"/>
      <c r="B933" s="1793" t="s">
        <v>2577</v>
      </c>
      <c r="C933" s="1747"/>
      <c r="D933" s="1897" t="s">
        <v>2315</v>
      </c>
      <c r="E933" s="1897"/>
      <c r="F933" s="1897"/>
      <c r="G933" s="1746"/>
    </row>
    <row r="934" spans="1:7" ht="12.75" customHeight="1">
      <c r="A934" s="1763"/>
      <c r="B934" s="1763"/>
      <c r="C934" s="1747"/>
      <c r="D934" s="1897"/>
      <c r="E934" s="1897"/>
      <c r="F934" s="1897"/>
      <c r="G934" s="1746"/>
    </row>
    <row r="935" spans="1:7" ht="12.75" customHeight="1">
      <c r="A935" s="1763"/>
      <c r="B935" s="1763"/>
      <c r="C935" s="1747"/>
      <c r="D935" s="1897"/>
      <c r="E935" s="1897"/>
      <c r="F935" s="1897"/>
      <c r="G935" s="1746"/>
    </row>
    <row r="936" spans="1:7" ht="12.75" customHeight="1">
      <c r="A936" s="1763"/>
      <c r="B936" s="1763"/>
      <c r="C936" s="1747"/>
      <c r="D936" s="1897"/>
      <c r="E936" s="1897"/>
      <c r="F936" s="1897"/>
      <c r="G936" s="1746"/>
    </row>
    <row r="937" spans="1:7" ht="12.75" customHeight="1">
      <c r="A937" s="1763"/>
      <c r="B937" s="1763"/>
      <c r="C937" s="1747"/>
      <c r="D937" s="1897"/>
      <c r="E937" s="1897"/>
      <c r="F937" s="1897"/>
      <c r="G937" s="1746"/>
    </row>
    <row r="938" spans="1:7" ht="12.75" customHeight="1">
      <c r="A938" s="1763"/>
      <c r="B938" s="1763"/>
      <c r="C938" s="1747"/>
      <c r="D938" s="1897"/>
      <c r="E938" s="1897"/>
      <c r="F938" s="1897"/>
      <c r="G938" s="1746"/>
    </row>
    <row r="939" spans="1:7" ht="12.75" customHeight="1">
      <c r="A939" s="1763"/>
      <c r="B939" s="1763"/>
      <c r="C939" s="1747"/>
      <c r="D939" s="1715"/>
      <c r="E939" s="1715"/>
      <c r="F939" s="1715"/>
      <c r="G939" s="1746"/>
    </row>
    <row r="940" spans="1:7" ht="12.75" customHeight="1">
      <c r="A940" s="715"/>
      <c r="B940" s="1793" t="s">
        <v>2577</v>
      </c>
      <c r="C940" s="1747"/>
      <c r="D940" s="1897" t="s">
        <v>2316</v>
      </c>
      <c r="E940" s="1897"/>
      <c r="F940" s="1897"/>
      <c r="G940" s="1746"/>
    </row>
    <row r="941" spans="1:7" ht="12.75" customHeight="1">
      <c r="A941" s="1763"/>
      <c r="B941" s="1763"/>
      <c r="C941" s="1747"/>
      <c r="D941" s="1897"/>
      <c r="E941" s="1897"/>
      <c r="F941" s="1897"/>
      <c r="G941" s="1746"/>
    </row>
    <row r="942" spans="1:7" ht="12.75" customHeight="1">
      <c r="A942" s="1763"/>
      <c r="B942" s="1763"/>
      <c r="C942" s="1747"/>
      <c r="D942" s="1897"/>
      <c r="E942" s="1897"/>
      <c r="F942" s="1897"/>
      <c r="G942" s="1746"/>
    </row>
    <row r="943" spans="1:7" ht="12.75" customHeight="1">
      <c r="A943" s="1763"/>
      <c r="B943" s="1763"/>
      <c r="C943" s="1747"/>
      <c r="D943" s="1897"/>
      <c r="E943" s="1897"/>
      <c r="F943" s="1897"/>
      <c r="G943" s="1746"/>
    </row>
    <row r="944" spans="1:7" ht="12.75" customHeight="1">
      <c r="A944" s="1763"/>
      <c r="B944" s="1763"/>
      <c r="C944" s="1747"/>
      <c r="D944" s="1897"/>
      <c r="E944" s="1897"/>
      <c r="F944" s="1897"/>
      <c r="G944" s="1746"/>
    </row>
    <row r="945" spans="1:7" ht="12.75" customHeight="1">
      <c r="A945" s="1763"/>
      <c r="B945" s="1763"/>
      <c r="C945" s="1747"/>
      <c r="D945" s="1764"/>
      <c r="E945" s="1745"/>
      <c r="F945" s="1745"/>
      <c r="G945" s="1746"/>
    </row>
    <row r="946" spans="1:7" ht="12.75" customHeight="1">
      <c r="A946" s="715"/>
      <c r="B946" s="1793" t="s">
        <v>2577</v>
      </c>
      <c r="C946" s="1747"/>
      <c r="D946" s="1897" t="s">
        <v>2317</v>
      </c>
      <c r="E946" s="1897"/>
      <c r="F946" s="1897"/>
      <c r="G946" s="1746"/>
    </row>
    <row r="947" spans="1:7" ht="12.75" customHeight="1">
      <c r="A947" s="1763"/>
      <c r="B947" s="1763"/>
      <c r="C947" s="1747"/>
      <c r="D947" s="1897"/>
      <c r="E947" s="1897"/>
      <c r="F947" s="1897"/>
      <c r="G947" s="1746"/>
    </row>
    <row r="948" spans="1:7" ht="12.75" customHeight="1">
      <c r="A948" s="1763"/>
      <c r="B948" s="1763"/>
      <c r="C948" s="1747"/>
      <c r="D948" s="1897"/>
      <c r="E948" s="1897"/>
      <c r="F948" s="1897"/>
      <c r="G948" s="1746"/>
    </row>
    <row r="949" spans="1:7" ht="12.75" customHeight="1">
      <c r="A949" s="1763"/>
      <c r="B949" s="1763"/>
      <c r="C949" s="1747"/>
      <c r="D949" s="1897"/>
      <c r="E949" s="1897"/>
      <c r="F949" s="1897"/>
      <c r="G949" s="1746"/>
    </row>
    <row r="950" spans="1:7" ht="12.75" customHeight="1">
      <c r="A950" s="1763"/>
      <c r="B950" s="1763"/>
      <c r="C950" s="1747"/>
      <c r="D950" s="1897"/>
      <c r="E950" s="1897"/>
      <c r="F950" s="1897"/>
      <c r="G950" s="1746"/>
    </row>
    <row r="951" spans="1:7" ht="12.75" customHeight="1">
      <c r="A951" s="1763"/>
      <c r="B951" s="1763"/>
      <c r="C951" s="1747"/>
      <c r="D951" s="1764"/>
      <c r="E951" s="1745"/>
      <c r="F951" s="1745"/>
      <c r="G951" s="1746"/>
    </row>
    <row r="952" spans="1:7" ht="12.75" customHeight="1">
      <c r="A952" s="715"/>
      <c r="B952" s="1793" t="s">
        <v>2577</v>
      </c>
      <c r="C952" s="1747"/>
      <c r="D952" s="1897" t="s">
        <v>2318</v>
      </c>
      <c r="E952" s="1897"/>
      <c r="F952" s="1897"/>
      <c r="G952" s="1746"/>
    </row>
    <row r="953" spans="1:7" ht="12.75" customHeight="1">
      <c r="A953" s="1763"/>
      <c r="B953" s="1763"/>
      <c r="C953" s="1747"/>
      <c r="D953" s="1897"/>
      <c r="E953" s="1897"/>
      <c r="F953" s="1897"/>
      <c r="G953" s="1746"/>
    </row>
    <row r="954" spans="1:7" ht="12.75" customHeight="1">
      <c r="A954" s="1763"/>
      <c r="B954" s="1763"/>
      <c r="C954" s="1747"/>
      <c r="D954" s="1897"/>
      <c r="E954" s="1897"/>
      <c r="F954" s="1897"/>
      <c r="G954" s="1746"/>
    </row>
    <row r="955" spans="1:7" ht="12.75" customHeight="1">
      <c r="A955" s="1763"/>
      <c r="B955" s="1763"/>
      <c r="C955" s="1747"/>
      <c r="D955" s="1715"/>
      <c r="E955" s="1715"/>
      <c r="F955" s="1715"/>
      <c r="G955" s="1746"/>
    </row>
    <row r="956" spans="1:7" ht="12.75" customHeight="1">
      <c r="A956" s="715"/>
      <c r="B956" s="1793" t="s">
        <v>2577</v>
      </c>
      <c r="C956" s="1747"/>
      <c r="D956" s="1897" t="s">
        <v>2319</v>
      </c>
      <c r="E956" s="1897"/>
      <c r="F956" s="1897"/>
      <c r="G956" s="1746"/>
    </row>
    <row r="957" spans="1:7" ht="12.75" customHeight="1">
      <c r="A957" s="1763"/>
      <c r="B957" s="1763"/>
      <c r="C957" s="1747"/>
      <c r="D957" s="1897"/>
      <c r="E957" s="1897"/>
      <c r="F957" s="1897"/>
      <c r="G957" s="1746"/>
    </row>
    <row r="958" spans="1:7" ht="12.75" customHeight="1">
      <c r="A958" s="1763"/>
      <c r="B958" s="1763"/>
      <c r="C958" s="1747"/>
      <c r="D958" s="1764"/>
      <c r="E958" s="1745"/>
      <c r="F958" s="1745"/>
      <c r="G958" s="1746"/>
    </row>
    <row r="959" spans="1:7" ht="12.75" customHeight="1">
      <c r="A959" s="1763"/>
      <c r="B959" s="1793" t="s">
        <v>2577</v>
      </c>
      <c r="C959" s="1747"/>
      <c r="D959" s="1848" t="s">
        <v>2320</v>
      </c>
      <c r="E959" s="1848"/>
      <c r="F959" s="1848"/>
      <c r="G959" s="1746"/>
    </row>
    <row r="960" spans="1:7" ht="12.75" customHeight="1">
      <c r="A960" s="1763"/>
      <c r="B960" s="1763"/>
      <c r="C960" s="1747"/>
      <c r="D960" s="1848"/>
      <c r="E960" s="1848"/>
      <c r="F960" s="1848"/>
      <c r="G960" s="1746"/>
    </row>
    <row r="961" spans="1:7" ht="12.75" customHeight="1">
      <c r="A961" s="1763"/>
      <c r="B961" s="1763"/>
      <c r="C961" s="1747"/>
      <c r="D961" s="1745"/>
      <c r="E961" s="1745"/>
      <c r="F961" s="1745"/>
      <c r="G961" s="1746"/>
    </row>
    <row r="962" spans="1:7" ht="12.75" customHeight="1">
      <c r="A962" s="1763"/>
      <c r="B962" s="1793" t="s">
        <v>2577</v>
      </c>
      <c r="C962" s="1747"/>
      <c r="D962" s="1906" t="s">
        <v>2321</v>
      </c>
      <c r="E962" s="1906"/>
      <c r="F962" s="1906"/>
      <c r="G962" s="1746"/>
    </row>
    <row r="963" spans="1:7" ht="12.75" customHeight="1">
      <c r="A963" s="1763"/>
      <c r="B963" s="1763"/>
      <c r="C963" s="1747"/>
      <c r="D963" s="1906"/>
      <c r="E963" s="1906"/>
      <c r="F963" s="1906"/>
      <c r="G963" s="1746"/>
    </row>
    <row r="964" spans="1:7" ht="12.75" customHeight="1">
      <c r="A964" s="1763"/>
      <c r="B964" s="1763"/>
      <c r="C964" s="1747"/>
      <c r="D964" s="1906"/>
      <c r="E964" s="1906"/>
      <c r="F964" s="1906"/>
      <c r="G964" s="1746"/>
    </row>
    <row r="965" spans="1:7" ht="12.75" customHeight="1">
      <c r="A965" s="1763"/>
      <c r="B965" s="1763"/>
      <c r="C965" s="1747"/>
      <c r="D965" s="1906"/>
      <c r="E965" s="1906"/>
      <c r="F965" s="1906"/>
      <c r="G965" s="1746"/>
    </row>
    <row r="966" spans="1:7" ht="12.75" customHeight="1">
      <c r="A966" s="1763"/>
      <c r="B966" s="1763"/>
      <c r="C966" s="1747"/>
      <c r="D966" s="1713"/>
      <c r="E966" s="1745"/>
      <c r="F966" s="1745"/>
      <c r="G966" s="1746"/>
    </row>
    <row r="967" spans="1:7" ht="12.75" customHeight="1">
      <c r="A967" s="1763"/>
      <c r="B967" s="1793" t="s">
        <v>2577</v>
      </c>
      <c r="C967" s="1747"/>
      <c r="D967" s="1873" t="s">
        <v>2322</v>
      </c>
      <c r="E967" s="1873"/>
      <c r="F967" s="1873"/>
      <c r="G967" s="1746"/>
    </row>
    <row r="968" spans="1:7" ht="12.75" customHeight="1">
      <c r="A968" s="1763"/>
      <c r="B968" s="1763"/>
      <c r="C968" s="1747"/>
      <c r="D968" s="1713"/>
      <c r="E968" s="1745"/>
      <c r="F968" s="1745"/>
      <c r="G968" s="1746"/>
    </row>
    <row r="969" spans="1:7" ht="12.75" customHeight="1">
      <c r="A969" s="1763"/>
      <c r="B969" s="1793" t="s">
        <v>2577</v>
      </c>
      <c r="C969" s="1747"/>
      <c r="D969" s="1873" t="s">
        <v>2323</v>
      </c>
      <c r="E969" s="1873"/>
      <c r="F969" s="1873"/>
      <c r="G969" s="1746"/>
    </row>
    <row r="970" spans="1:7" ht="12.75" customHeight="1">
      <c r="A970" s="1763"/>
      <c r="B970" s="1763"/>
      <c r="C970" s="1747"/>
      <c r="D970" s="1745"/>
      <c r="E970" s="1745"/>
      <c r="F970" s="1745"/>
      <c r="G970" s="1746"/>
    </row>
    <row r="971" spans="1:7" ht="12.75" customHeight="1">
      <c r="A971" s="1763"/>
      <c r="B971" s="557"/>
      <c r="C971" s="1747"/>
      <c r="D971" s="1872" t="s">
        <v>2324</v>
      </c>
      <c r="E971" s="1872"/>
      <c r="F971" s="1872"/>
      <c r="G971" s="1746"/>
    </row>
    <row r="972" spans="1:7" ht="12.75" customHeight="1">
      <c r="A972" s="1763"/>
      <c r="B972" s="557"/>
      <c r="C972" s="1747"/>
      <c r="D972" s="1717"/>
      <c r="E972" s="1745"/>
      <c r="F972" s="1745"/>
      <c r="G972" s="1746"/>
    </row>
    <row r="973" spans="1:7" ht="12.75" customHeight="1">
      <c r="A973" s="715"/>
      <c r="B973" s="1793" t="s">
        <v>2577</v>
      </c>
      <c r="C973" s="1747"/>
      <c r="D973" s="1850" t="s">
        <v>2325</v>
      </c>
      <c r="E973" s="1850"/>
      <c r="F973" s="1850"/>
      <c r="G973" s="1746"/>
    </row>
    <row r="974" spans="1:7" ht="12.75" customHeight="1">
      <c r="A974" s="1763"/>
      <c r="B974" s="1763"/>
      <c r="C974" s="1747"/>
      <c r="D974" s="1850"/>
      <c r="E974" s="1850"/>
      <c r="F974" s="1850"/>
      <c r="G974" s="1746"/>
    </row>
    <row r="975" spans="1:7" ht="12.75" customHeight="1">
      <c r="A975" s="1763"/>
      <c r="B975" s="1763"/>
      <c r="C975" s="1747"/>
      <c r="D975" s="1850"/>
      <c r="E975" s="1850"/>
      <c r="F975" s="1850"/>
      <c r="G975" s="1746"/>
    </row>
    <row r="976" spans="1:7" ht="12.75" customHeight="1">
      <c r="A976" s="1763"/>
      <c r="B976" s="1763"/>
      <c r="C976" s="1747"/>
      <c r="D976" s="1850"/>
      <c r="E976" s="1850"/>
      <c r="F976" s="1850"/>
      <c r="G976" s="1746"/>
    </row>
    <row r="977" spans="1:7" ht="12.75" customHeight="1">
      <c r="A977" s="1763"/>
      <c r="B977" s="1763"/>
      <c r="C977" s="1747"/>
      <c r="D977" s="1850"/>
      <c r="E977" s="1850"/>
      <c r="F977" s="1850"/>
      <c r="G977" s="1746"/>
    </row>
    <row r="978" spans="1:7" ht="12.75" customHeight="1">
      <c r="A978" s="1763"/>
      <c r="B978" s="1763"/>
      <c r="C978" s="1747"/>
      <c r="D978" s="679"/>
      <c r="E978" s="6"/>
      <c r="F978" s="6"/>
      <c r="G978" s="1746"/>
    </row>
    <row r="979" spans="1:7" ht="12.75" customHeight="1">
      <c r="A979" s="715"/>
      <c r="B979" s="1793" t="s">
        <v>2577</v>
      </c>
      <c r="C979" s="1747"/>
      <c r="D979" s="1850" t="s">
        <v>2326</v>
      </c>
      <c r="E979" s="1850"/>
      <c r="F979" s="1850"/>
      <c r="G979" s="1746"/>
    </row>
    <row r="980" spans="1:7" ht="12.75" customHeight="1">
      <c r="A980" s="1763"/>
      <c r="B980" s="1763"/>
      <c r="C980" s="1747"/>
      <c r="D980" s="1850"/>
      <c r="E980" s="1850"/>
      <c r="F980" s="1850"/>
      <c r="G980" s="1746"/>
    </row>
    <row r="981" spans="1:7" ht="12.75" customHeight="1">
      <c r="A981" s="1763"/>
      <c r="B981" s="1763"/>
      <c r="C981" s="1747"/>
      <c r="D981" s="1850"/>
      <c r="E981" s="1850"/>
      <c r="F981" s="1850"/>
      <c r="G981" s="1746"/>
    </row>
    <row r="982" spans="1:7" ht="12.75" customHeight="1">
      <c r="A982" s="1763"/>
      <c r="B982" s="1763"/>
      <c r="C982" s="1747"/>
      <c r="D982" s="1850"/>
      <c r="E982" s="1850"/>
      <c r="F982" s="1850"/>
      <c r="G982" s="1746"/>
    </row>
    <row r="983" spans="1:7" ht="12.75" customHeight="1">
      <c r="A983" s="1763"/>
      <c r="B983" s="1763"/>
      <c r="C983" s="1747"/>
      <c r="D983" s="1850"/>
      <c r="E983" s="1850"/>
      <c r="F983" s="1850"/>
      <c r="G983" s="1746"/>
    </row>
    <row r="984" spans="1:7" ht="12.75" customHeight="1">
      <c r="A984" s="1763"/>
      <c r="B984" s="1763"/>
      <c r="C984" s="1747"/>
      <c r="D984" s="1745"/>
      <c r="E984" s="1745"/>
      <c r="F984" s="1745"/>
      <c r="G984" s="1746"/>
    </row>
    <row r="985" spans="1:7" ht="12.75" customHeight="1">
      <c r="A985" s="1763"/>
      <c r="B985" s="1763"/>
      <c r="C985" s="1747"/>
      <c r="D985" s="1872" t="s">
        <v>2327</v>
      </c>
      <c r="E985" s="1872"/>
      <c r="F985" s="1872"/>
      <c r="G985" s="1746"/>
    </row>
    <row r="986" spans="1:7" ht="12.75" customHeight="1">
      <c r="A986" s="1763"/>
      <c r="B986" s="1763"/>
      <c r="C986" s="1747"/>
      <c r="D986" s="1717"/>
      <c r="E986" s="1745"/>
      <c r="F986" s="1745"/>
      <c r="G986" s="1746"/>
    </row>
    <row r="987" spans="1:7" ht="12.75" customHeight="1">
      <c r="A987" s="715"/>
      <c r="B987" s="1793" t="s">
        <v>2577</v>
      </c>
      <c r="C987" s="1747"/>
      <c r="D987" s="1850" t="s">
        <v>2328</v>
      </c>
      <c r="E987" s="1850"/>
      <c r="F987" s="1850"/>
      <c r="G987" s="1746"/>
    </row>
    <row r="988" spans="1:7" ht="12.75" customHeight="1">
      <c r="A988" s="1763"/>
      <c r="B988" s="1763"/>
      <c r="C988" s="1747"/>
      <c r="D988" s="1850"/>
      <c r="E988" s="1850"/>
      <c r="F988" s="1850"/>
      <c r="G988" s="1746"/>
    </row>
    <row r="989" spans="1:7" ht="12.75" customHeight="1">
      <c r="A989" s="1763"/>
      <c r="B989" s="1763"/>
      <c r="C989" s="1747"/>
      <c r="D989" s="1850"/>
      <c r="E989" s="1850"/>
      <c r="F989" s="1850"/>
      <c r="G989" s="1746"/>
    </row>
    <row r="990" spans="1:7" ht="12.75" customHeight="1">
      <c r="A990" s="1763"/>
      <c r="B990" s="1763"/>
      <c r="C990" s="1747"/>
      <c r="D990" s="679"/>
      <c r="E990" s="6"/>
      <c r="F990" s="6"/>
      <c r="G990" s="1746"/>
    </row>
    <row r="991" spans="1:7" ht="12.75" customHeight="1">
      <c r="A991" s="715"/>
      <c r="B991" s="1793" t="s">
        <v>2577</v>
      </c>
      <c r="C991" s="1747"/>
      <c r="D991" s="1850" t="s">
        <v>2329</v>
      </c>
      <c r="E991" s="1850"/>
      <c r="F991" s="1850"/>
      <c r="G991" s="1746"/>
    </row>
    <row r="992" spans="1:7" ht="12.75" customHeight="1">
      <c r="A992" s="1763"/>
      <c r="B992" s="1763"/>
      <c r="C992" s="1747"/>
      <c r="D992" s="1850"/>
      <c r="E992" s="1850"/>
      <c r="F992" s="1850"/>
      <c r="G992" s="1746"/>
    </row>
    <row r="993" spans="1:7" ht="12.75" customHeight="1">
      <c r="A993" s="1763"/>
      <c r="B993" s="1763"/>
      <c r="C993" s="1747"/>
      <c r="D993" s="1850"/>
      <c r="E993" s="1850"/>
      <c r="F993" s="1850"/>
      <c r="G993" s="1746"/>
    </row>
    <row r="994" spans="1:7" ht="12.75" customHeight="1">
      <c r="A994" s="1763"/>
      <c r="B994" s="1763"/>
      <c r="C994" s="1747"/>
      <c r="D994" s="1713"/>
      <c r="E994" s="1745"/>
      <c r="F994" s="1745"/>
      <c r="G994" s="1746"/>
    </row>
    <row r="995" spans="1:7" ht="12.75" customHeight="1">
      <c r="A995" s="1763"/>
      <c r="B995" s="1763"/>
      <c r="C995" s="1747"/>
      <c r="D995" s="1872" t="s">
        <v>2330</v>
      </c>
      <c r="E995" s="1872"/>
      <c r="F995" s="1872"/>
      <c r="G995" s="1746"/>
    </row>
    <row r="996" spans="1:7" ht="12.75" customHeight="1">
      <c r="A996" s="1763"/>
      <c r="B996" s="1763"/>
      <c r="C996" s="1747"/>
      <c r="D996" s="1717"/>
      <c r="E996" s="1745"/>
      <c r="F996" s="1745"/>
      <c r="G996" s="1746"/>
    </row>
    <row r="997" spans="1:7" ht="12.75" customHeight="1">
      <c r="A997" s="715"/>
      <c r="B997" s="1793" t="s">
        <v>2577</v>
      </c>
      <c r="C997" s="1747"/>
      <c r="D997" s="2548" t="s">
        <v>2331</v>
      </c>
      <c r="E997" s="2548"/>
      <c r="F997" s="2548"/>
      <c r="G997" s="1765"/>
    </row>
    <row r="998" spans="1:7" ht="12.75" customHeight="1">
      <c r="A998" s="1763"/>
      <c r="B998" s="1763"/>
      <c r="C998" s="1747"/>
      <c r="D998" s="2548"/>
      <c r="E998" s="2548"/>
      <c r="F998" s="2548"/>
      <c r="G998" s="1765"/>
    </row>
    <row r="999" spans="1:7" ht="12.75" customHeight="1">
      <c r="A999" s="1763"/>
      <c r="B999" s="1763"/>
      <c r="C999" s="1747"/>
      <c r="D999" s="2548"/>
      <c r="E999" s="2548"/>
      <c r="F999" s="2548"/>
      <c r="G999" s="1765"/>
    </row>
    <row r="1000" spans="1:7" ht="12.75" customHeight="1">
      <c r="A1000" s="1763"/>
      <c r="B1000" s="1763"/>
      <c r="C1000" s="1747"/>
      <c r="D1000" s="1766"/>
      <c r="E1000" s="1766"/>
      <c r="F1000" s="1766"/>
      <c r="G1000" s="1766"/>
    </row>
    <row r="1001" spans="1:7" ht="12.75" customHeight="1">
      <c r="A1001" s="1763"/>
      <c r="B1001" s="1793" t="s">
        <v>2577</v>
      </c>
      <c r="C1001" s="1747"/>
      <c r="D1001" s="2548" t="s">
        <v>2332</v>
      </c>
      <c r="E1001" s="2548"/>
      <c r="F1001" s="2548"/>
      <c r="G1001" s="1766"/>
    </row>
    <row r="1002" spans="1:7" ht="12.75" customHeight="1">
      <c r="A1002" s="1763"/>
      <c r="B1002" s="1763"/>
      <c r="C1002" s="1747"/>
      <c r="D1002" s="2548"/>
      <c r="E1002" s="2548"/>
      <c r="F1002" s="2548"/>
      <c r="G1002" s="1766"/>
    </row>
    <row r="1003" spans="1:7" ht="12.75" customHeight="1">
      <c r="A1003" s="1763"/>
      <c r="B1003" s="1763"/>
      <c r="C1003" s="1747"/>
      <c r="D1003" s="2548"/>
      <c r="E1003" s="2548"/>
      <c r="F1003" s="2548"/>
      <c r="G1003" s="1766"/>
    </row>
    <row r="1004" spans="1:7" ht="12.75" customHeight="1">
      <c r="A1004" s="1763"/>
      <c r="B1004" s="1763"/>
      <c r="C1004" s="1747"/>
      <c r="D1004" s="1713"/>
      <c r="E1004" s="1745"/>
      <c r="F1004" s="1745"/>
      <c r="G1004" s="1746"/>
    </row>
    <row r="1005" spans="1:7" ht="12.75" customHeight="1">
      <c r="A1005" s="1763"/>
      <c r="B1005" s="1793" t="s">
        <v>2577</v>
      </c>
      <c r="C1005" s="1747"/>
      <c r="D1005" s="2549" t="s">
        <v>2333</v>
      </c>
      <c r="E1005" s="2549"/>
      <c r="F1005" s="2549"/>
      <c r="G1005" s="1767"/>
    </row>
    <row r="1006" spans="1:7" ht="12.75" customHeight="1">
      <c r="A1006" s="1763"/>
      <c r="B1006" s="1763"/>
      <c r="C1006" s="1747"/>
      <c r="D1006" s="2549"/>
      <c r="E1006" s="2549"/>
      <c r="F1006" s="2549"/>
      <c r="G1006" s="1767"/>
    </row>
    <row r="1007" spans="1:7" ht="12.75" customHeight="1">
      <c r="A1007" s="1763"/>
      <c r="B1007" s="1763"/>
      <c r="C1007" s="1747"/>
      <c r="D1007" s="2549"/>
      <c r="E1007" s="2549"/>
      <c r="F1007" s="2549"/>
      <c r="G1007" s="1767"/>
    </row>
    <row r="1008" spans="1:7" ht="12.75" customHeight="1">
      <c r="A1008" s="1763"/>
      <c r="B1008" s="1763"/>
      <c r="C1008" s="1747"/>
      <c r="D1008" s="1745"/>
      <c r="E1008" s="1745"/>
      <c r="F1008" s="1745"/>
      <c r="G1008" s="1746"/>
    </row>
    <row r="1009" spans="1:7" ht="12.75" customHeight="1">
      <c r="A1009" s="1763"/>
      <c r="B1009" s="1793" t="s">
        <v>2577</v>
      </c>
      <c r="C1009" s="1747"/>
      <c r="D1009" s="2548" t="s">
        <v>2334</v>
      </c>
      <c r="E1009" s="2548"/>
      <c r="F1009" s="2548"/>
      <c r="G1009" s="1767"/>
    </row>
    <row r="1010" spans="1:7" ht="12.75" customHeight="1">
      <c r="A1010" s="1763"/>
      <c r="B1010" s="1763"/>
      <c r="C1010" s="1747"/>
      <c r="D1010" s="2548"/>
      <c r="E1010" s="2548"/>
      <c r="F1010" s="2548"/>
      <c r="G1010" s="1767"/>
    </row>
    <row r="1011" spans="1:7" ht="12.75" customHeight="1">
      <c r="A1011" s="1763"/>
      <c r="B1011" s="1763"/>
      <c r="C1011" s="1747"/>
      <c r="D1011" s="2548"/>
      <c r="E1011" s="2548"/>
      <c r="F1011" s="2548"/>
      <c r="G1011" s="1767"/>
    </row>
    <row r="1012" spans="1:7" ht="12.75" customHeight="1">
      <c r="A1012" s="715"/>
      <c r="B1012" s="715"/>
      <c r="C1012" s="1747"/>
      <c r="D1012" s="1713"/>
      <c r="E1012" s="1745"/>
      <c r="F1012" s="1745"/>
      <c r="G1012" s="1746"/>
    </row>
    <row r="1013" spans="1:7" ht="12.75" customHeight="1">
      <c r="A1013" s="1763"/>
      <c r="B1013" s="1793" t="s">
        <v>2577</v>
      </c>
      <c r="C1013" s="1747"/>
      <c r="D1013" s="2548" t="s">
        <v>2335</v>
      </c>
      <c r="E1013" s="2548"/>
      <c r="F1013" s="2548"/>
      <c r="G1013" s="1767"/>
    </row>
    <row r="1014" spans="1:7" ht="12.75" customHeight="1">
      <c r="A1014" s="1763"/>
      <c r="B1014" s="1763"/>
      <c r="C1014" s="1747"/>
      <c r="D1014" s="2548"/>
      <c r="E1014" s="2548"/>
      <c r="F1014" s="2548"/>
      <c r="G1014" s="1767"/>
    </row>
    <row r="1015" spans="1:7" ht="12.75" customHeight="1">
      <c r="A1015" s="1763"/>
      <c r="B1015" s="1763"/>
      <c r="C1015" s="1747"/>
      <c r="D1015" s="2548"/>
      <c r="E1015" s="2548"/>
      <c r="F1015" s="2548"/>
      <c r="G1015" s="1767"/>
    </row>
    <row r="1016" spans="1:7" ht="12.75" customHeight="1">
      <c r="A1016" s="1763"/>
      <c r="B1016" s="1763"/>
      <c r="C1016" s="1747"/>
      <c r="D1016" s="1713"/>
      <c r="E1016" s="1745"/>
      <c r="F1016" s="1745"/>
      <c r="G1016" s="1746"/>
    </row>
    <row r="1017" spans="1:7" ht="12.75" customHeight="1">
      <c r="A1017" s="1763"/>
      <c r="B1017" s="1793" t="s">
        <v>2577</v>
      </c>
      <c r="C1017" s="1747"/>
      <c r="D1017" s="2548" t="s">
        <v>2336</v>
      </c>
      <c r="E1017" s="2548"/>
      <c r="F1017" s="2548"/>
      <c r="G1017" s="1765"/>
    </row>
    <row r="1018" spans="1:7" ht="12.75" customHeight="1">
      <c r="A1018" s="1763"/>
      <c r="B1018" s="1763"/>
      <c r="C1018" s="1747"/>
      <c r="D1018" s="2548"/>
      <c r="E1018" s="2548"/>
      <c r="F1018" s="2548"/>
      <c r="G1018" s="1765"/>
    </row>
    <row r="1019" spans="1:7" ht="12.75" customHeight="1">
      <c r="A1019" s="1763"/>
      <c r="B1019" s="1763"/>
      <c r="C1019" s="1747"/>
      <c r="D1019" s="2548"/>
      <c r="E1019" s="2548"/>
      <c r="F1019" s="2548"/>
      <c r="G1019" s="1765"/>
    </row>
    <row r="1020" spans="1:7" ht="12.75" customHeight="1">
      <c r="A1020" s="1763"/>
      <c r="B1020" s="1763"/>
      <c r="C1020" s="1747"/>
      <c r="D1020" s="1765"/>
      <c r="E1020" s="1765"/>
      <c r="F1020" s="1765"/>
      <c r="G1020" s="1765"/>
    </row>
    <row r="1021" spans="1:7" ht="12.75" customHeight="1">
      <c r="A1021" s="1763"/>
      <c r="B1021" s="1793" t="s">
        <v>2577</v>
      </c>
      <c r="C1021" s="1747"/>
      <c r="D1021" s="2548" t="s">
        <v>2337</v>
      </c>
      <c r="E1021" s="2548"/>
      <c r="F1021" s="2548"/>
      <c r="G1021" s="1765"/>
    </row>
    <row r="1022" spans="1:7" ht="12.75" customHeight="1">
      <c r="A1022" s="1763"/>
      <c r="B1022" s="1763"/>
      <c r="C1022" s="1747"/>
      <c r="D1022" s="2548"/>
      <c r="E1022" s="2548"/>
      <c r="F1022" s="2548"/>
      <c r="G1022" s="1765"/>
    </row>
    <row r="1023" spans="1:7" ht="12.75" customHeight="1">
      <c r="A1023" s="1763"/>
      <c r="B1023" s="1763"/>
      <c r="C1023" s="1747"/>
      <c r="D1023" s="2548"/>
      <c r="E1023" s="2548"/>
      <c r="F1023" s="2548"/>
      <c r="G1023" s="1765"/>
    </row>
    <row r="1024" spans="1:7" ht="12.75" customHeight="1">
      <c r="A1024" s="1763"/>
      <c r="B1024" s="1763"/>
      <c r="C1024" s="1747"/>
      <c r="D1024" s="1768"/>
      <c r="E1024" s="1768"/>
      <c r="F1024" s="1768"/>
      <c r="G1024" s="1769"/>
    </row>
    <row r="1025" spans="1:7" ht="12.75" customHeight="1">
      <c r="A1025" s="1770"/>
      <c r="B1025" s="1793" t="s">
        <v>2577</v>
      </c>
      <c r="C1025" s="1751"/>
      <c r="D1025" s="2550" t="s">
        <v>2338</v>
      </c>
      <c r="E1025" s="2550"/>
      <c r="F1025" s="2550"/>
      <c r="G1025" s="1771"/>
    </row>
    <row r="1026" spans="1:7" ht="12.75" customHeight="1">
      <c r="A1026" s="1770"/>
      <c r="B1026" s="1770"/>
      <c r="C1026" s="1751"/>
      <c r="D1026" s="2550"/>
      <c r="E1026" s="2550"/>
      <c r="F1026" s="2550"/>
      <c r="G1026" s="1771"/>
    </row>
    <row r="1027" spans="1:7" ht="12.75" customHeight="1">
      <c r="A1027" s="1770"/>
      <c r="B1027" s="1770"/>
      <c r="C1027" s="1751"/>
      <c r="D1027" s="2550"/>
      <c r="E1027" s="2550"/>
      <c r="F1027" s="2550"/>
      <c r="G1027" s="1771"/>
    </row>
    <row r="1028" spans="1:7" ht="12.75" customHeight="1">
      <c r="A1028" s="1770"/>
      <c r="B1028" s="1770"/>
      <c r="C1028" s="1751"/>
      <c r="D1028" s="2550"/>
      <c r="E1028" s="2550"/>
      <c r="F1028" s="2550"/>
      <c r="G1028" s="1771"/>
    </row>
    <row r="1029" spans="1:7" ht="12.75" customHeight="1">
      <c r="A1029" s="1770"/>
      <c r="B1029" s="1770"/>
      <c r="C1029" s="1751"/>
      <c r="D1029" s="2550"/>
      <c r="E1029" s="2550"/>
      <c r="F1029" s="2550"/>
      <c r="G1029" s="1771"/>
    </row>
    <row r="1030" spans="1:7" ht="12.75" customHeight="1">
      <c r="A1030" s="1770"/>
      <c r="B1030" s="1770"/>
      <c r="C1030" s="1751"/>
      <c r="D1030" s="2550"/>
      <c r="E1030" s="2550"/>
      <c r="F1030" s="2550"/>
      <c r="G1030" s="1771"/>
    </row>
    <row r="1031" spans="1:7" ht="12.75" customHeight="1">
      <c r="A1031" s="1770"/>
      <c r="B1031" s="1770"/>
      <c r="C1031" s="1751"/>
      <c r="D1031" s="2550"/>
      <c r="E1031" s="2550"/>
      <c r="F1031" s="2550"/>
      <c r="G1031" s="1771"/>
    </row>
    <row r="1032" spans="1:7" ht="12.75" customHeight="1">
      <c r="A1032" s="1770"/>
      <c r="B1032" s="1770"/>
      <c r="C1032" s="1751"/>
      <c r="D1032" s="2550"/>
      <c r="E1032" s="2550"/>
      <c r="F1032" s="2550"/>
      <c r="G1032" s="1771"/>
    </row>
    <row r="1033" spans="1:7" ht="12.75" customHeight="1">
      <c r="A1033" s="1770"/>
      <c r="B1033" s="1770"/>
      <c r="C1033" s="1751"/>
      <c r="D1033" s="2550"/>
      <c r="E1033" s="2550"/>
      <c r="F1033" s="2550"/>
      <c r="G1033" s="1771"/>
    </row>
    <row r="1034" spans="1:7" ht="12.75" customHeight="1">
      <c r="A1034" s="1770"/>
      <c r="B1034" s="1770"/>
      <c r="C1034" s="1751"/>
      <c r="D1034" s="2550"/>
      <c r="E1034" s="2550"/>
      <c r="F1034" s="2550"/>
      <c r="G1034" s="1771"/>
    </row>
    <row r="1035" spans="1:7" ht="12.75" customHeight="1">
      <c r="A1035" s="1770"/>
      <c r="B1035" s="1770"/>
      <c r="C1035" s="1751"/>
      <c r="D1035" s="2550"/>
      <c r="E1035" s="2550"/>
      <c r="F1035" s="2550"/>
      <c r="G1035" s="1771"/>
    </row>
    <row r="1036" spans="1:7" ht="12.75" customHeight="1">
      <c r="A1036" s="1770"/>
      <c r="B1036" s="1770"/>
      <c r="C1036" s="1751"/>
      <c r="D1036" s="1709"/>
      <c r="E1036" s="1709"/>
      <c r="F1036" s="1709"/>
      <c r="G1036" s="1709"/>
    </row>
    <row r="1037" spans="1:7" ht="12.75" customHeight="1">
      <c r="A1037" s="1763"/>
      <c r="B1037" s="1763"/>
      <c r="C1037" s="1747"/>
      <c r="D1037" s="1872" t="s">
        <v>2339</v>
      </c>
      <c r="E1037" s="1872"/>
      <c r="F1037" s="1872"/>
      <c r="G1037" s="1709"/>
    </row>
    <row r="1038" spans="1:7" ht="12.75" customHeight="1">
      <c r="A1038" s="1763"/>
      <c r="B1038" s="1763"/>
      <c r="C1038" s="1747"/>
      <c r="D1038" s="1717"/>
      <c r="E1038" s="1711"/>
      <c r="F1038" s="1711"/>
      <c r="G1038" s="1709"/>
    </row>
    <row r="1039" spans="1:7" ht="12.75" customHeight="1">
      <c r="A1039" s="715"/>
      <c r="B1039" s="1793" t="s">
        <v>2577</v>
      </c>
      <c r="C1039" s="1747"/>
      <c r="D1039" s="1848" t="s">
        <v>2340</v>
      </c>
      <c r="E1039" s="1848"/>
      <c r="F1039" s="1848"/>
      <c r="G1039" s="1746"/>
    </row>
    <row r="1040" spans="1:7" ht="12.75" customHeight="1">
      <c r="A1040" s="1763"/>
      <c r="B1040" s="1763"/>
      <c r="C1040" s="1747"/>
      <c r="D1040" s="1848"/>
      <c r="E1040" s="1848"/>
      <c r="F1040" s="1848"/>
      <c r="G1040" s="1746"/>
    </row>
    <row r="1041" spans="1:7" ht="12.75" customHeight="1">
      <c r="A1041" s="1763"/>
      <c r="B1041" s="1763"/>
      <c r="C1041" s="1747"/>
      <c r="D1041" s="1848"/>
      <c r="E1041" s="1848"/>
      <c r="F1041" s="1848"/>
      <c r="G1041" s="1746"/>
    </row>
    <row r="1042" spans="1:7" ht="12.75" customHeight="1">
      <c r="A1042" s="1763"/>
      <c r="B1042" s="1763"/>
      <c r="C1042" s="1747"/>
      <c r="D1042" s="1848"/>
      <c r="E1042" s="1848"/>
      <c r="F1042" s="1848"/>
      <c r="G1042" s="1746"/>
    </row>
    <row r="1043" spans="1:7" ht="12.75" customHeight="1">
      <c r="A1043" s="1763"/>
      <c r="B1043" s="1763"/>
      <c r="C1043" s="1747"/>
      <c r="D1043" s="1745"/>
      <c r="E1043" s="1745"/>
      <c r="F1043" s="1745"/>
      <c r="G1043" s="1746"/>
    </row>
    <row r="1044" spans="1:7" ht="12.75" customHeight="1">
      <c r="A1044" s="715"/>
      <c r="B1044" s="1793" t="s">
        <v>2577</v>
      </c>
      <c r="C1044" s="1747"/>
      <c r="D1044" s="1848" t="s">
        <v>2341</v>
      </c>
      <c r="E1044" s="1848"/>
      <c r="F1044" s="1848"/>
      <c r="G1044" s="1746"/>
    </row>
    <row r="1045" spans="1:7" ht="12.75" customHeight="1">
      <c r="A1045" s="1763"/>
      <c r="B1045" s="1763"/>
      <c r="C1045" s="1747"/>
      <c r="D1045" s="1848"/>
      <c r="E1045" s="1848"/>
      <c r="F1045" s="1848"/>
      <c r="G1045" s="1746"/>
    </row>
    <row r="1046" spans="1:7" ht="12.75" customHeight="1">
      <c r="A1046" s="1763"/>
      <c r="B1046" s="1763"/>
      <c r="C1046" s="1747"/>
      <c r="D1046" s="1848"/>
      <c r="E1046" s="1848"/>
      <c r="F1046" s="1848"/>
      <c r="G1046" s="1746"/>
    </row>
    <row r="1047" spans="1:7" ht="12.75" customHeight="1">
      <c r="A1047" s="1763"/>
      <c r="B1047" s="1763"/>
      <c r="C1047" s="1747"/>
      <c r="D1047" s="1848"/>
      <c r="E1047" s="1848"/>
      <c r="F1047" s="1848"/>
      <c r="G1047" s="1746"/>
    </row>
    <row r="1048" spans="1:7" ht="12.75" customHeight="1">
      <c r="A1048" s="1763"/>
      <c r="B1048" s="1763"/>
      <c r="C1048" s="1747"/>
      <c r="D1048" s="1745"/>
      <c r="E1048" s="1745"/>
      <c r="F1048" s="1745"/>
      <c r="G1048" s="1746"/>
    </row>
    <row r="1049" spans="1:7" ht="12.75" customHeight="1">
      <c r="A1049" s="1763"/>
      <c r="B1049" s="1793" t="s">
        <v>2577</v>
      </c>
      <c r="C1049" s="1747"/>
      <c r="D1049" s="2551" t="s">
        <v>2342</v>
      </c>
      <c r="E1049" s="2551"/>
      <c r="F1049" s="2551"/>
      <c r="G1049" s="1746"/>
    </row>
    <row r="1050" spans="1:7" ht="12.75" customHeight="1">
      <c r="A1050" s="1763"/>
      <c r="B1050" s="1763"/>
      <c r="C1050" s="1747"/>
      <c r="D1050" s="2551"/>
      <c r="E1050" s="2551"/>
      <c r="F1050" s="2551"/>
      <c r="G1050" s="1746"/>
    </row>
    <row r="1051" spans="1:7" ht="12.75" customHeight="1">
      <c r="A1051" s="1763"/>
      <c r="B1051" s="1763"/>
      <c r="C1051" s="1747"/>
      <c r="D1051" s="2551"/>
      <c r="E1051" s="2551"/>
      <c r="F1051" s="2551"/>
      <c r="G1051" s="1746"/>
    </row>
    <row r="1052" spans="1:7" ht="12.75" customHeight="1">
      <c r="A1052" s="1763"/>
      <c r="B1052" s="1763"/>
      <c r="C1052" s="1747"/>
      <c r="D1052" s="1745"/>
      <c r="E1052" s="1745"/>
      <c r="F1052" s="1745"/>
      <c r="G1052" s="1746"/>
    </row>
    <row r="1053" spans="1:7" ht="12.75" customHeight="1">
      <c r="A1053" s="715"/>
      <c r="B1053" s="1793" t="s">
        <v>2577</v>
      </c>
      <c r="C1053" s="1772"/>
      <c r="D1053" s="1907" t="s">
        <v>2343</v>
      </c>
      <c r="E1053" s="1907"/>
      <c r="F1053" s="1907"/>
      <c r="G1053" s="1773"/>
    </row>
    <row r="1054" spans="1:7" ht="12.75" customHeight="1">
      <c r="A1054" s="1774"/>
      <c r="B1054" s="1774"/>
      <c r="C1054" s="1772"/>
      <c r="D1054" s="1907"/>
      <c r="E1054" s="1907"/>
      <c r="F1054" s="1907"/>
      <c r="G1054" s="1773"/>
    </row>
    <row r="1055" spans="1:7" ht="12.75" customHeight="1">
      <c r="A1055" s="1774"/>
      <c r="B1055" s="1774"/>
      <c r="C1055" s="1772"/>
      <c r="D1055" s="1907"/>
      <c r="E1055" s="1907"/>
      <c r="F1055" s="1907"/>
      <c r="G1055" s="1773"/>
    </row>
    <row r="1056" spans="1:7" ht="12.75" customHeight="1">
      <c r="A1056" s="1763"/>
      <c r="B1056" s="1763"/>
      <c r="C1056" s="1747"/>
      <c r="D1056" s="1745"/>
      <c r="E1056" s="1745"/>
      <c r="F1056" s="1745"/>
      <c r="G1056" s="1746"/>
    </row>
    <row r="1057" spans="1:7" ht="12.75" customHeight="1">
      <c r="A1057" s="557"/>
      <c r="B1057" s="557"/>
      <c r="C1057" s="1747"/>
      <c r="D1057" s="1872" t="s">
        <v>2344</v>
      </c>
      <c r="E1057" s="1872"/>
      <c r="F1057" s="1872"/>
      <c r="G1057" s="1746"/>
    </row>
    <row r="1058" spans="1:7" ht="12.75" customHeight="1">
      <c r="A1058" s="557"/>
      <c r="B1058" s="557"/>
      <c r="C1058" s="1747"/>
      <c r="D1058" s="1717"/>
      <c r="E1058" s="1745"/>
      <c r="F1058" s="1745"/>
      <c r="G1058" s="1746"/>
    </row>
    <row r="1059" spans="1:7" ht="12.75" customHeight="1">
      <c r="A1059" s="1763"/>
      <c r="B1059" s="1793" t="s">
        <v>2577</v>
      </c>
      <c r="C1059" s="1747"/>
      <c r="D1059" s="1850" t="s">
        <v>2345</v>
      </c>
      <c r="E1059" s="1850"/>
      <c r="F1059" s="1850"/>
      <c r="G1059" s="1746"/>
    </row>
    <row r="1060" spans="1:7" ht="12.75" customHeight="1">
      <c r="A1060" s="1763"/>
      <c r="B1060" s="1763"/>
      <c r="C1060" s="1747"/>
      <c r="D1060" s="1850"/>
      <c r="E1060" s="1850"/>
      <c r="F1060" s="1850"/>
      <c r="G1060" s="1746"/>
    </row>
    <row r="1061" spans="1:7" ht="12.75" customHeight="1">
      <c r="A1061" s="1763"/>
      <c r="B1061" s="1763"/>
      <c r="C1061" s="1747"/>
      <c r="D1061" s="1850"/>
      <c r="E1061" s="1850"/>
      <c r="F1061" s="1850"/>
      <c r="G1061" s="1746"/>
    </row>
    <row r="1062" spans="1:7" ht="12.75" customHeight="1">
      <c r="A1062" s="1763"/>
      <c r="B1062" s="1763"/>
      <c r="C1062" s="1747"/>
      <c r="D1062" s="1746"/>
      <c r="E1062" s="1745"/>
      <c r="F1062" s="1745"/>
      <c r="G1062" s="1746"/>
    </row>
    <row r="1063" spans="1:7" ht="12.75" customHeight="1">
      <c r="A1063" s="715"/>
      <c r="B1063" s="1793" t="s">
        <v>2577</v>
      </c>
      <c r="C1063" s="1747"/>
      <c r="D1063" s="1850" t="s">
        <v>2346</v>
      </c>
      <c r="E1063" s="1850"/>
      <c r="F1063" s="1850"/>
      <c r="G1063" s="1746"/>
    </row>
    <row r="1064" spans="1:7" ht="12.75" customHeight="1">
      <c r="A1064" s="1763"/>
      <c r="B1064" s="1763"/>
      <c r="C1064" s="1747"/>
      <c r="D1064" s="1850"/>
      <c r="E1064" s="1850"/>
      <c r="F1064" s="1850"/>
      <c r="G1064" s="1746"/>
    </row>
    <row r="1065" spans="1:7" ht="12.75" customHeight="1">
      <c r="A1065" s="1763"/>
      <c r="B1065" s="1763"/>
      <c r="C1065" s="1747"/>
      <c r="D1065" s="1850"/>
      <c r="E1065" s="1850"/>
      <c r="F1065" s="1850"/>
      <c r="G1065" s="1746"/>
    </row>
    <row r="1066" spans="1:7" ht="12.75" customHeight="1">
      <c r="A1066" s="1763"/>
      <c r="B1066" s="1763"/>
      <c r="C1066" s="1747"/>
      <c r="D1066" s="1745"/>
      <c r="E1066" s="1745"/>
      <c r="F1066" s="1745"/>
      <c r="G1066" s="1746"/>
    </row>
    <row r="1067" spans="1:7" ht="12.75" customHeight="1">
      <c r="A1067" s="1763"/>
      <c r="B1067" s="1763"/>
      <c r="C1067" s="1747"/>
      <c r="D1067" s="1872" t="s">
        <v>2347</v>
      </c>
      <c r="E1067" s="1872"/>
      <c r="F1067" s="1872"/>
      <c r="G1067" s="1746"/>
    </row>
    <row r="1068" spans="1:7" ht="12.75" customHeight="1">
      <c r="A1068" s="1763"/>
      <c r="B1068" s="1763"/>
      <c r="C1068" s="1747"/>
      <c r="D1068" s="1873" t="s">
        <v>2348</v>
      </c>
      <c r="E1068" s="1873"/>
      <c r="F1068" s="1873"/>
      <c r="G1068" s="1746"/>
    </row>
    <row r="1069" spans="1:7" ht="12.75" customHeight="1">
      <c r="A1069" s="1763"/>
      <c r="B1069" s="1763"/>
      <c r="C1069" s="1747"/>
      <c r="D1069" s="1775"/>
      <c r="E1069" s="1745"/>
      <c r="F1069" s="1745"/>
      <c r="G1069" s="1746"/>
    </row>
    <row r="1070" spans="1:7" ht="12.75" customHeight="1">
      <c r="A1070" s="715"/>
      <c r="B1070" s="1793" t="s">
        <v>2577</v>
      </c>
      <c r="C1070" s="1747"/>
      <c r="D1070" s="1848" t="s">
        <v>2349</v>
      </c>
      <c r="E1070" s="1848"/>
      <c r="F1070" s="1848"/>
      <c r="G1070" s="1746"/>
    </row>
    <row r="1071" spans="1:7" ht="12.75" customHeight="1">
      <c r="A1071" s="1763"/>
      <c r="B1071" s="1763"/>
      <c r="C1071" s="1747"/>
      <c r="D1071" s="1848"/>
      <c r="E1071" s="1848"/>
      <c r="F1071" s="1848"/>
      <c r="G1071" s="1746"/>
    </row>
    <row r="1072" spans="1:7" ht="12.75" customHeight="1">
      <c r="A1072" s="1763"/>
      <c r="B1072" s="1763"/>
      <c r="C1072" s="1747"/>
      <c r="D1072" s="1745"/>
      <c r="E1072" s="1745"/>
      <c r="F1072" s="1745"/>
      <c r="G1072" s="1746"/>
    </row>
    <row r="1073" spans="1:7" ht="12.75" customHeight="1">
      <c r="A1073" s="715"/>
      <c r="B1073" s="1793" t="s">
        <v>2577</v>
      </c>
      <c r="C1073" s="1747"/>
      <c r="D1073" s="1848" t="s">
        <v>2350</v>
      </c>
      <c r="E1073" s="1848"/>
      <c r="F1073" s="1848"/>
      <c r="G1073" s="1746"/>
    </row>
    <row r="1074" spans="1:7" ht="12.75" customHeight="1">
      <c r="A1074" s="1763"/>
      <c r="B1074" s="1763"/>
      <c r="C1074" s="1747"/>
      <c r="D1074" s="1848"/>
      <c r="E1074" s="1848"/>
      <c r="F1074" s="1848"/>
      <c r="G1074" s="1746"/>
    </row>
    <row r="1075" spans="1:7" ht="12.75" customHeight="1">
      <c r="A1075" s="1763"/>
      <c r="B1075" s="1763"/>
      <c r="C1075" s="1747"/>
      <c r="D1075" s="6"/>
      <c r="E1075" s="1745"/>
      <c r="F1075" s="1745"/>
      <c r="G1075" s="1746"/>
    </row>
    <row r="1076" spans="1:7" ht="12.75" customHeight="1">
      <c r="A1076" s="1763"/>
      <c r="B1076" s="1763"/>
      <c r="C1076" s="1747"/>
      <c r="D1076" s="1872" t="s">
        <v>2351</v>
      </c>
      <c r="E1076" s="1872"/>
      <c r="F1076" s="1872"/>
      <c r="G1076" s="1746"/>
    </row>
    <row r="1077" spans="1:7" ht="12.75" customHeight="1">
      <c r="A1077" s="1763"/>
      <c r="B1077" s="1763"/>
      <c r="C1077" s="1747"/>
      <c r="D1077" s="1717"/>
      <c r="E1077" s="1745"/>
      <c r="F1077" s="1745"/>
      <c r="G1077" s="1746"/>
    </row>
    <row r="1078" spans="1:7" ht="12.75" customHeight="1">
      <c r="A1078" s="715"/>
      <c r="B1078" s="1793" t="s">
        <v>2577</v>
      </c>
      <c r="C1078" s="1747"/>
      <c r="D1078" s="1848" t="s">
        <v>2352</v>
      </c>
      <c r="E1078" s="1848"/>
      <c r="F1078" s="1848"/>
      <c r="G1078" s="1746"/>
    </row>
    <row r="1079" spans="1:7" ht="12.75" customHeight="1">
      <c r="A1079" s="1763"/>
      <c r="B1079" s="1763"/>
      <c r="C1079" s="1747"/>
      <c r="D1079" s="1848"/>
      <c r="E1079" s="1848"/>
      <c r="F1079" s="1848"/>
      <c r="G1079" s="1746"/>
    </row>
    <row r="1080" spans="1:7" ht="12.75" customHeight="1">
      <c r="A1080" s="1763"/>
      <c r="B1080" s="1763"/>
      <c r="C1080" s="1747"/>
      <c r="D1080" s="1848"/>
      <c r="E1080" s="1848"/>
      <c r="F1080" s="1848"/>
      <c r="G1080" s="1746"/>
    </row>
    <row r="1081" spans="1:7" ht="12.75" customHeight="1">
      <c r="A1081" s="1763"/>
      <c r="B1081" s="1763"/>
      <c r="C1081" s="1747"/>
      <c r="D1081" s="1848"/>
      <c r="E1081" s="1848"/>
      <c r="F1081" s="1848"/>
      <c r="G1081" s="1746"/>
    </row>
    <row r="1082" spans="1:7" ht="12.75" customHeight="1">
      <c r="A1082" s="1763"/>
      <c r="B1082" s="1763"/>
      <c r="C1082" s="1747"/>
      <c r="D1082" s="1848"/>
      <c r="E1082" s="1848"/>
      <c r="F1082" s="1848"/>
      <c r="G1082" s="1746"/>
    </row>
    <row r="1083" spans="1:7" ht="12.75" customHeight="1">
      <c r="A1083" s="1763"/>
      <c r="B1083" s="1763"/>
      <c r="C1083" s="1747"/>
      <c r="D1083" s="1848"/>
      <c r="E1083" s="1848"/>
      <c r="F1083" s="1848"/>
      <c r="G1083" s="1746"/>
    </row>
    <row r="1084" spans="1:7" ht="12.75" customHeight="1">
      <c r="A1084" s="1763"/>
      <c r="B1084" s="1763"/>
      <c r="C1084" s="1747"/>
      <c r="D1084" s="1848"/>
      <c r="E1084" s="1848"/>
      <c r="F1084" s="1848"/>
      <c r="G1084" s="1746"/>
    </row>
    <row r="1085" spans="1:7" ht="12.75" customHeight="1">
      <c r="A1085" s="1763"/>
      <c r="B1085" s="1763"/>
      <c r="C1085" s="1747"/>
      <c r="D1085" s="1745"/>
      <c r="E1085" s="1745"/>
      <c r="F1085" s="1745"/>
      <c r="G1085" s="1746"/>
    </row>
    <row r="1086" spans="1:7" ht="12.75" customHeight="1">
      <c r="A1086" s="715"/>
      <c r="B1086" s="1793" t="s">
        <v>2577</v>
      </c>
      <c r="C1086" s="1747"/>
      <c r="D1086" s="1848" t="s">
        <v>2353</v>
      </c>
      <c r="E1086" s="1848"/>
      <c r="F1086" s="1848"/>
      <c r="G1086" s="1746"/>
    </row>
    <row r="1087" spans="1:7" ht="12.75" customHeight="1">
      <c r="A1087" s="1763"/>
      <c r="B1087" s="1763"/>
      <c r="C1087" s="1747"/>
      <c r="D1087" s="1848"/>
      <c r="E1087" s="1848"/>
      <c r="F1087" s="1848"/>
      <c r="G1087" s="1746"/>
    </row>
    <row r="1088" spans="1:7" ht="12.75" customHeight="1">
      <c r="A1088" s="1763"/>
      <c r="B1088" s="1763"/>
      <c r="C1088" s="1747"/>
      <c r="D1088" s="1848"/>
      <c r="E1088" s="1848"/>
      <c r="F1088" s="1848"/>
      <c r="G1088" s="1746"/>
    </row>
    <row r="1089" spans="1:7" ht="12.75" customHeight="1">
      <c r="A1089" s="1763"/>
      <c r="B1089" s="1763"/>
      <c r="C1089" s="1747"/>
      <c r="D1089" s="1848"/>
      <c r="E1089" s="1848"/>
      <c r="F1089" s="1848"/>
      <c r="G1089" s="1746"/>
    </row>
    <row r="1090" spans="1:7" ht="12.75" customHeight="1">
      <c r="A1090" s="1763"/>
      <c r="B1090" s="1763"/>
      <c r="C1090" s="1747"/>
      <c r="D1090" s="1848"/>
      <c r="E1090" s="1848"/>
      <c r="F1090" s="1848"/>
      <c r="G1090" s="1746"/>
    </row>
    <row r="1091" spans="1:7" ht="12.75" customHeight="1">
      <c r="A1091" s="1763"/>
      <c r="B1091" s="1763"/>
      <c r="C1091" s="1747"/>
      <c r="D1091" s="1848"/>
      <c r="E1091" s="1848"/>
      <c r="F1091" s="1848"/>
      <c r="G1091" s="1746"/>
    </row>
    <row r="1092" spans="1:7" ht="12.75" customHeight="1">
      <c r="A1092" s="1763"/>
      <c r="B1092" s="1763"/>
      <c r="C1092" s="1747"/>
      <c r="D1092" s="1848"/>
      <c r="E1092" s="1848"/>
      <c r="F1092" s="1848"/>
      <c r="G1092" s="1746"/>
    </row>
    <row r="1093" spans="1:7" ht="12.75" customHeight="1">
      <c r="A1093" s="1763"/>
      <c r="B1093" s="1763"/>
      <c r="C1093" s="1747"/>
      <c r="D1093" s="1707"/>
      <c r="E1093" s="1707"/>
      <c r="F1093" s="1707"/>
      <c r="G1093" s="1746"/>
    </row>
    <row r="1094" spans="1:7" ht="12.75" customHeight="1">
      <c r="A1094" s="1763"/>
      <c r="B1094" s="1793" t="s">
        <v>2577</v>
      </c>
      <c r="C1094" s="1747"/>
      <c r="D1094" s="2551" t="s">
        <v>2354</v>
      </c>
      <c r="E1094" s="2551"/>
      <c r="F1094" s="2551"/>
      <c r="G1094" s="1746"/>
    </row>
    <row r="1095" spans="1:7" ht="12.75" customHeight="1">
      <c r="A1095" s="1763"/>
      <c r="B1095" s="1763"/>
      <c r="C1095" s="1747"/>
      <c r="D1095" s="2551"/>
      <c r="E1095" s="2551"/>
      <c r="F1095" s="2551"/>
      <c r="G1095" s="1746"/>
    </row>
    <row r="1096" spans="1:7" ht="12.75" customHeight="1">
      <c r="A1096" s="1763"/>
      <c r="B1096" s="1763"/>
      <c r="C1096" s="1747"/>
      <c r="D1096" s="2551"/>
      <c r="E1096" s="2551"/>
      <c r="F1096" s="2551"/>
      <c r="G1096" s="1746"/>
    </row>
    <row r="1097" spans="1:7" ht="12.75" customHeight="1">
      <c r="A1097" s="1763"/>
      <c r="B1097" s="1763"/>
      <c r="C1097" s="1747"/>
      <c r="D1097" s="1776"/>
      <c r="E1097" s="1776"/>
      <c r="F1097" s="1776"/>
      <c r="G1097" s="1746"/>
    </row>
    <row r="1098" spans="1:7" ht="12.75" customHeight="1">
      <c r="A1098" s="1749"/>
      <c r="B1098" s="1749"/>
      <c r="C1098" s="557"/>
      <c r="D1098" s="1872" t="s">
        <v>2355</v>
      </c>
      <c r="E1098" s="1872"/>
      <c r="F1098" s="1872"/>
      <c r="G1098" s="679"/>
    </row>
    <row r="1099" spans="1:7" ht="12.75" customHeight="1">
      <c r="A1099" s="1749"/>
      <c r="B1099" s="1749"/>
      <c r="C1099" s="557"/>
      <c r="D1099" s="1717"/>
      <c r="E1099" s="6"/>
      <c r="F1099" s="6"/>
      <c r="G1099" s="679"/>
    </row>
    <row r="1100" spans="1:7" ht="12.75" customHeight="1">
      <c r="A1100" s="715"/>
      <c r="B1100" s="1793" t="s">
        <v>2577</v>
      </c>
      <c r="C1100" s="557"/>
      <c r="D1100" s="1850" t="s">
        <v>2356</v>
      </c>
      <c r="E1100" s="1850"/>
      <c r="F1100" s="1850"/>
      <c r="G1100" s="679"/>
    </row>
    <row r="1101" spans="1:7" ht="12.75" customHeight="1">
      <c r="A1101" s="1749"/>
      <c r="B1101" s="1749"/>
      <c r="C1101" s="557"/>
      <c r="D1101" s="1850"/>
      <c r="E1101" s="1850"/>
      <c r="F1101" s="1850"/>
      <c r="G1101" s="679"/>
    </row>
    <row r="1102" spans="1:7" ht="12.75" customHeight="1">
      <c r="A1102" s="1749"/>
      <c r="B1102" s="1749"/>
      <c r="C1102" s="557"/>
      <c r="D1102" s="679"/>
      <c r="E1102" s="6"/>
      <c r="F1102" s="6"/>
      <c r="G1102" s="679"/>
    </row>
    <row r="1103" spans="1:7" ht="12.75" customHeight="1">
      <c r="A1103" s="715"/>
      <c r="B1103" s="1793" t="s">
        <v>2577</v>
      </c>
      <c r="C1103" s="557"/>
      <c r="D1103" s="1850" t="s">
        <v>2357</v>
      </c>
      <c r="E1103" s="1850"/>
      <c r="F1103" s="1850"/>
      <c r="G1103" s="679"/>
    </row>
    <row r="1104" spans="1:7" ht="12.75" customHeight="1">
      <c r="A1104" s="1749"/>
      <c r="B1104" s="1749"/>
      <c r="C1104" s="557"/>
      <c r="D1104" s="1850"/>
      <c r="E1104" s="1850"/>
      <c r="F1104" s="1850"/>
      <c r="G1104" s="679"/>
    </row>
    <row r="1105" spans="1:7" ht="12.75" customHeight="1">
      <c r="A1105" s="1749"/>
      <c r="B1105" s="1749"/>
      <c r="C1105" s="557"/>
      <c r="D1105" s="6"/>
      <c r="E1105" s="6"/>
      <c r="F1105" s="6"/>
      <c r="G1105" s="679"/>
    </row>
    <row r="1106" spans="1:7" ht="12.75" customHeight="1">
      <c r="A1106" s="1749"/>
      <c r="B1106" s="1749"/>
      <c r="C1106" s="557"/>
      <c r="D1106" s="1872" t="s">
        <v>2358</v>
      </c>
      <c r="E1106" s="1872"/>
      <c r="F1106" s="1872"/>
      <c r="G1106" s="679"/>
    </row>
    <row r="1107" spans="1:7" ht="12.75" customHeight="1">
      <c r="A1107" s="1749"/>
      <c r="B1107" s="1749"/>
      <c r="C1107" s="557"/>
      <c r="D1107" s="1717"/>
      <c r="E1107" s="6"/>
      <c r="F1107" s="6"/>
      <c r="G1107" s="679"/>
    </row>
    <row r="1108" spans="1:7" ht="12.75" customHeight="1">
      <c r="A1108" s="715"/>
      <c r="B1108" s="1793" t="s">
        <v>2577</v>
      </c>
      <c r="C1108" s="557"/>
      <c r="D1108" s="1873" t="s">
        <v>2385</v>
      </c>
      <c r="E1108" s="1873"/>
      <c r="F1108" s="1873"/>
      <c r="G1108" s="679"/>
    </row>
    <row r="1109" spans="1:7" ht="12.75" customHeight="1">
      <c r="A1109" s="1749"/>
      <c r="B1109" s="1749"/>
      <c r="C1109" s="557"/>
      <c r="D1109" s="6"/>
      <c r="E1109" s="6"/>
      <c r="F1109" s="6"/>
      <c r="G1109" s="679"/>
    </row>
    <row r="1110" spans="1:7" ht="12.75" customHeight="1">
      <c r="A1110" s="715"/>
      <c r="B1110" s="1793" t="s">
        <v>2577</v>
      </c>
      <c r="C1110" s="557"/>
      <c r="D1110" s="1848" t="s">
        <v>2359</v>
      </c>
      <c r="E1110" s="1848"/>
      <c r="F1110" s="1848"/>
      <c r="G1110" s="679"/>
    </row>
    <row r="1111" spans="1:7" ht="12.75" customHeight="1">
      <c r="A1111" s="715"/>
      <c r="B1111" s="715"/>
      <c r="C1111" s="557"/>
      <c r="D1111" s="1848"/>
      <c r="E1111" s="1848"/>
      <c r="F1111" s="1848"/>
      <c r="G1111" s="679"/>
    </row>
    <row r="1112" spans="1:7" ht="12.75" customHeight="1">
      <c r="A1112" s="715"/>
      <c r="B1112" s="715"/>
      <c r="C1112" s="557"/>
      <c r="D1112" s="1707"/>
      <c r="E1112" s="1707"/>
      <c r="F1112" s="1707"/>
      <c r="G1112" s="678"/>
    </row>
    <row r="1113" spans="1:7" ht="12.75" customHeight="1">
      <c r="A1113" s="1749"/>
      <c r="B1113" s="1749"/>
      <c r="C1113" s="557"/>
      <c r="D1113" s="1872" t="s">
        <v>2360</v>
      </c>
      <c r="E1113" s="1872"/>
      <c r="F1113" s="1872"/>
      <c r="G1113" s="678"/>
    </row>
    <row r="1114" spans="1:7" ht="12.75" customHeight="1">
      <c r="A1114" s="1749"/>
      <c r="B1114" s="1749"/>
      <c r="C1114" s="557"/>
      <c r="D1114" s="1717"/>
      <c r="E1114" s="6"/>
      <c r="F1114" s="6"/>
      <c r="G1114" s="678"/>
    </row>
    <row r="1115" spans="1:7" ht="12.75" customHeight="1">
      <c r="A1115" s="715"/>
      <c r="B1115" s="1793" t="s">
        <v>2576</v>
      </c>
      <c r="C1115" s="557"/>
      <c r="D1115" s="1848" t="s">
        <v>2361</v>
      </c>
      <c r="E1115" s="1848"/>
      <c r="F1115" s="1848"/>
      <c r="G1115" s="678"/>
    </row>
    <row r="1116" spans="1:7" ht="12.75" customHeight="1">
      <c r="A1116" s="715"/>
      <c r="B1116" s="715"/>
      <c r="C1116" s="557"/>
      <c r="D1116" s="1848"/>
      <c r="E1116" s="1848"/>
      <c r="F1116" s="1848"/>
      <c r="G1116" s="678"/>
    </row>
    <row r="1117" spans="1:7" ht="12.75" customHeight="1">
      <c r="A1117" s="715"/>
      <c r="B1117" s="715"/>
      <c r="C1117" s="557"/>
      <c r="D1117" s="1848"/>
      <c r="E1117" s="1848"/>
      <c r="F1117" s="1848"/>
      <c r="G1117" s="678"/>
    </row>
    <row r="1118" spans="1:7" ht="12.75" customHeight="1">
      <c r="A1118" s="715"/>
      <c r="B1118" s="715"/>
      <c r="C1118" s="557"/>
      <c r="D1118" s="1848"/>
      <c r="E1118" s="1848"/>
      <c r="F1118" s="1848"/>
      <c r="G1118" s="678"/>
    </row>
    <row r="1119" spans="1:7" ht="12.75" customHeight="1">
      <c r="A1119" s="715"/>
      <c r="B1119" s="715"/>
      <c r="C1119" s="557"/>
      <c r="D1119" s="1848"/>
      <c r="E1119" s="1848"/>
      <c r="F1119" s="1848"/>
      <c r="G1119" s="678"/>
    </row>
    <row r="1120" spans="1:7" ht="12.75" customHeight="1">
      <c r="A1120" s="715"/>
      <c r="B1120" s="715"/>
      <c r="C1120" s="557"/>
      <c r="D1120" s="1848"/>
      <c r="E1120" s="1848"/>
      <c r="F1120" s="1848"/>
      <c r="G1120" s="678"/>
    </row>
    <row r="1121" spans="1:7" ht="12.75" customHeight="1">
      <c r="A1121" s="715"/>
      <c r="B1121" s="715"/>
      <c r="C1121" s="557"/>
      <c r="D1121" s="1848"/>
      <c r="E1121" s="1848"/>
      <c r="F1121" s="1848"/>
      <c r="G1121" s="678"/>
    </row>
    <row r="1122" spans="1:7" ht="12.75" customHeight="1">
      <c r="A1122" s="715"/>
      <c r="B1122" s="715"/>
      <c r="C1122" s="557"/>
      <c r="D1122" s="1848"/>
      <c r="E1122" s="1848"/>
      <c r="F1122" s="1848"/>
      <c r="G1122" s="678"/>
    </row>
    <row r="1123" spans="1:7" ht="12.75" customHeight="1">
      <c r="A1123" s="715"/>
      <c r="B1123" s="715"/>
      <c r="C1123" s="557"/>
      <c r="D1123" s="1848"/>
      <c r="E1123" s="1848"/>
      <c r="F1123" s="1848"/>
      <c r="G1123" s="678"/>
    </row>
    <row r="1124" spans="1:7" ht="12.75" customHeight="1">
      <c r="A1124" s="715"/>
      <c r="B1124" s="715"/>
      <c r="C1124" s="557"/>
      <c r="D1124" s="1848"/>
      <c r="E1124" s="1848"/>
      <c r="F1124" s="1848"/>
      <c r="G1124" s="678"/>
    </row>
    <row r="1125" spans="1:7" ht="12.75" customHeight="1">
      <c r="A1125" s="715"/>
      <c r="B1125" s="715"/>
      <c r="C1125" s="557"/>
      <c r="D1125" s="1848"/>
      <c r="E1125" s="1848"/>
      <c r="F1125" s="1848"/>
      <c r="G1125" s="678"/>
    </row>
    <row r="1126" spans="1:7" ht="12.75" customHeight="1">
      <c r="A1126" s="715"/>
      <c r="B1126" s="715"/>
      <c r="C1126" s="557"/>
      <c r="D1126" s="1848"/>
      <c r="E1126" s="1848"/>
      <c r="F1126" s="1848"/>
      <c r="G1126" s="678"/>
    </row>
    <row r="1127" spans="1:7" ht="12.75" customHeight="1">
      <c r="A1127" s="715"/>
      <c r="B1127" s="715"/>
      <c r="C1127" s="557"/>
      <c r="D1127" s="1848"/>
      <c r="E1127" s="1848"/>
      <c r="F1127" s="1848"/>
      <c r="G1127" s="678"/>
    </row>
    <row r="1128" spans="1:7" ht="12.75" customHeight="1">
      <c r="A1128" s="715"/>
      <c r="B1128" s="715"/>
      <c r="C1128" s="557"/>
      <c r="D1128" s="1848"/>
      <c r="E1128" s="1848"/>
      <c r="F1128" s="1848"/>
      <c r="G1128" s="679"/>
    </row>
    <row r="1129" spans="1:7" ht="12.75" customHeight="1">
      <c r="A1129" s="1749"/>
      <c r="B1129" s="1749"/>
      <c r="C1129" s="557"/>
      <c r="D1129" s="6"/>
      <c r="E1129" s="6"/>
      <c r="F1129" s="6"/>
      <c r="G1129" s="679"/>
    </row>
    <row r="1130" spans="1:7" ht="12.75" customHeight="1">
      <c r="A1130" s="1883" t="s">
        <v>2362</v>
      </c>
      <c r="B1130" s="1883"/>
      <c r="C1130" s="1883"/>
      <c r="D1130" s="1883"/>
      <c r="E1130" s="1883"/>
      <c r="F1130" s="1883"/>
      <c r="G1130" s="1883"/>
    </row>
    <row r="1131" spans="1:7" ht="12.75" customHeight="1">
      <c r="A1131" s="1714"/>
      <c r="B1131" s="1714"/>
      <c r="C1131" s="557"/>
      <c r="D1131" s="6"/>
      <c r="E1131" s="6"/>
      <c r="F1131" s="6"/>
      <c r="G1131" s="679"/>
    </row>
    <row r="1132" spans="1:7" ht="12.75" customHeight="1">
      <c r="A1132" s="1749"/>
      <c r="B1132" s="1749"/>
      <c r="C1132" s="1747"/>
      <c r="D1132" s="1872" t="s">
        <v>2386</v>
      </c>
      <c r="E1132" s="1872"/>
      <c r="F1132" s="1872"/>
      <c r="G1132" s="679"/>
    </row>
    <row r="1133" spans="1:7" ht="12.75" customHeight="1">
      <c r="A1133" s="1721"/>
      <c r="B1133" s="1721"/>
      <c r="C1133" s="1753"/>
      <c r="D1133" s="1873" t="s">
        <v>2363</v>
      </c>
      <c r="E1133" s="1873"/>
      <c r="F1133" s="1873"/>
      <c r="G1133" s="679"/>
    </row>
    <row r="1134" spans="1:7" ht="12.75" customHeight="1">
      <c r="A1134" s="1721"/>
      <c r="B1134" s="1721"/>
      <c r="C1134" s="1753"/>
      <c r="D1134" s="6"/>
      <c r="E1134" s="6"/>
      <c r="F1134" s="1745"/>
      <c r="G1134" s="678"/>
    </row>
    <row r="1135" spans="1:7" ht="12.75" customHeight="1">
      <c r="A1135" s="1749"/>
      <c r="B1135" s="799" t="s">
        <v>2576</v>
      </c>
      <c r="C1135" s="557"/>
      <c r="D1135" s="1852" t="s">
        <v>2364</v>
      </c>
      <c r="E1135" s="1852"/>
      <c r="F1135" s="1852"/>
      <c r="G1135" s="678"/>
    </row>
    <row r="1136" spans="1:7" ht="12.75" customHeight="1">
      <c r="A1136" s="1749"/>
      <c r="B1136" s="1749"/>
      <c r="C1136" s="557"/>
      <c r="D1136" s="1852"/>
      <c r="E1136" s="1852"/>
      <c r="F1136" s="1852"/>
      <c r="G1136" s="678"/>
    </row>
    <row r="1137" spans="1:7" ht="12.75" customHeight="1">
      <c r="A1137" s="1749"/>
      <c r="B1137" s="1749"/>
      <c r="C1137" s="557"/>
      <c r="D1137" s="1852"/>
      <c r="E1137" s="1852"/>
      <c r="F1137" s="1852"/>
      <c r="G1137" s="678"/>
    </row>
    <row r="1138" spans="1:7" ht="12.75" customHeight="1">
      <c r="A1138" s="1749"/>
      <c r="B1138" s="1749"/>
      <c r="C1138" s="557"/>
      <c r="D1138" s="1852"/>
      <c r="E1138" s="1852"/>
      <c r="F1138" s="1852"/>
      <c r="G1138" s="678"/>
    </row>
    <row r="1139" spans="1:7" ht="12.75" customHeight="1">
      <c r="A1139" s="1733"/>
      <c r="B1139" s="1733"/>
      <c r="C1139" s="558"/>
      <c r="D1139" s="1852"/>
      <c r="E1139" s="1852"/>
      <c r="F1139" s="1852"/>
      <c r="G1139" s="678"/>
    </row>
    <row r="1140" spans="1:7" ht="12.75" customHeight="1">
      <c r="A1140" s="1733"/>
      <c r="B1140" s="1733"/>
      <c r="C1140" s="558"/>
      <c r="D1140" s="1852"/>
      <c r="E1140" s="1852"/>
      <c r="F1140" s="1852"/>
      <c r="G1140" s="678"/>
    </row>
    <row r="1141" spans="1:7" ht="12.75" customHeight="1">
      <c r="A1141" s="721"/>
      <c r="B1141" s="721"/>
      <c r="C1141" s="314"/>
      <c r="D1141" s="1852"/>
      <c r="E1141" s="1852"/>
      <c r="F1141" s="1852"/>
      <c r="G1141" s="678"/>
    </row>
    <row r="1142" spans="1:7" ht="12.75" customHeight="1">
      <c r="A1142" s="721"/>
      <c r="B1142" s="721"/>
      <c r="C1142" s="314"/>
      <c r="D1142" s="1852"/>
      <c r="E1142" s="1852"/>
      <c r="F1142" s="1852"/>
      <c r="G1142" s="678"/>
    </row>
    <row r="1143" spans="1:7" ht="12.75" customHeight="1">
      <c r="A1143" s="721"/>
      <c r="B1143" s="721"/>
      <c r="C1143" s="314"/>
      <c r="D1143" s="1710"/>
      <c r="E1143" s="1710"/>
      <c r="F1143" s="1710"/>
      <c r="G1143" s="678"/>
    </row>
    <row r="1144" spans="1:7" ht="12.75" customHeight="1">
      <c r="A1144" s="721"/>
      <c r="B1144" s="799" t="s">
        <v>1162</v>
      </c>
      <c r="C1144" s="314"/>
      <c r="D1144" s="1850" t="s">
        <v>2365</v>
      </c>
      <c r="E1144" s="1850"/>
      <c r="F1144" s="1850"/>
      <c r="G1144" s="678"/>
    </row>
    <row r="1145" spans="1:7" ht="12.75" customHeight="1">
      <c r="A1145" s="721"/>
      <c r="B1145" s="721"/>
      <c r="C1145" s="314"/>
      <c r="D1145" s="1850"/>
      <c r="E1145" s="1850"/>
      <c r="F1145" s="1850"/>
      <c r="G1145" s="678"/>
    </row>
    <row r="1146" spans="1:7" ht="12.75" customHeight="1">
      <c r="A1146" s="721"/>
      <c r="B1146" s="721"/>
      <c r="C1146" s="314"/>
      <c r="D1146" s="1850"/>
      <c r="E1146" s="1850"/>
      <c r="F1146" s="1850"/>
      <c r="G1146" s="678"/>
    </row>
    <row r="1147" spans="1:7" ht="12.75" customHeight="1">
      <c r="A1147" s="721"/>
      <c r="B1147" s="721"/>
      <c r="C1147" s="314"/>
      <c r="D1147" s="1850"/>
      <c r="E1147" s="1850"/>
      <c r="F1147" s="1850"/>
      <c r="G1147" s="678"/>
    </row>
    <row r="1148" spans="1:7" ht="12.75" customHeight="1">
      <c r="A1148" s="721"/>
      <c r="B1148" s="721"/>
      <c r="C1148" s="314"/>
      <c r="D1148" s="1708"/>
      <c r="E1148" s="1708"/>
      <c r="F1148" s="1708"/>
      <c r="G1148" s="678"/>
    </row>
    <row r="1149" spans="1:7" ht="12.75" customHeight="1">
      <c r="A1149" s="721"/>
      <c r="B1149" s="1793" t="s">
        <v>1162</v>
      </c>
      <c r="C1149" s="314"/>
      <c r="D1149" s="1850" t="s">
        <v>2366</v>
      </c>
      <c r="E1149" s="1850"/>
      <c r="F1149" s="1850"/>
      <c r="G1149" s="678"/>
    </row>
    <row r="1150" spans="1:7" ht="12.75" customHeight="1">
      <c r="A1150" s="721"/>
      <c r="B1150" s="721"/>
      <c r="C1150" s="314"/>
      <c r="D1150" s="1850"/>
      <c r="E1150" s="1850"/>
      <c r="F1150" s="1850"/>
      <c r="G1150" s="678"/>
    </row>
    <row r="1151" spans="1:7" ht="12.75" customHeight="1">
      <c r="A1151" s="721"/>
      <c r="B1151" s="721"/>
      <c r="C1151" s="314"/>
      <c r="D1151" s="1708"/>
      <c r="E1151" s="1708"/>
      <c r="F1151" s="1708"/>
      <c r="G1151" s="678"/>
    </row>
    <row r="1152" spans="1:7" ht="12.75" customHeight="1">
      <c r="A1152" s="715"/>
      <c r="B1152" s="1793" t="s">
        <v>1162</v>
      </c>
      <c r="C1152" s="557"/>
      <c r="D1152" s="1873" t="s">
        <v>2367</v>
      </c>
      <c r="E1152" s="1873"/>
      <c r="F1152" s="1873"/>
      <c r="G1152" s="678"/>
    </row>
    <row r="1153" spans="1:7" ht="12.75" customHeight="1">
      <c r="A1153" s="1749"/>
      <c r="B1153" s="1749"/>
      <c r="C1153" s="557"/>
      <c r="D1153" s="6"/>
      <c r="E1153" s="6"/>
      <c r="F1153" s="6"/>
      <c r="G1153" s="678"/>
    </row>
    <row r="1154" spans="1:7" ht="12.75" customHeight="1">
      <c r="A1154" s="715"/>
      <c r="B1154" s="1793" t="s">
        <v>1162</v>
      </c>
      <c r="C1154" s="557"/>
      <c r="D1154" s="1873" t="s">
        <v>2368</v>
      </c>
      <c r="E1154" s="1873"/>
      <c r="F1154" s="1873"/>
      <c r="G1154" s="678"/>
    </row>
    <row r="1155" spans="1:7" ht="12.75" customHeight="1">
      <c r="A1155" s="1749"/>
      <c r="B1155" s="1749"/>
      <c r="C1155" s="557"/>
      <c r="D1155" s="1713"/>
      <c r="E1155" s="6"/>
      <c r="F1155" s="6"/>
      <c r="G1155" s="678"/>
    </row>
    <row r="1156" spans="1:7" ht="12.75" customHeight="1">
      <c r="A1156" s="715"/>
      <c r="B1156" s="1793" t="s">
        <v>2576</v>
      </c>
      <c r="C1156" s="557"/>
      <c r="D1156" s="1873" t="s">
        <v>2369</v>
      </c>
      <c r="E1156" s="1873"/>
      <c r="F1156" s="1873"/>
      <c r="G1156" s="678"/>
    </row>
    <row r="1157" spans="1:7" ht="12.75" customHeight="1">
      <c r="A1157" s="1749"/>
      <c r="B1157" s="1749"/>
      <c r="C1157" s="557"/>
      <c r="D1157" s="1713"/>
      <c r="E1157" s="6"/>
      <c r="F1157" s="6"/>
      <c r="G1157" s="678"/>
    </row>
    <row r="1158" spans="1:7" ht="12.75" customHeight="1">
      <c r="A1158" s="715"/>
      <c r="B1158" s="1793" t="s">
        <v>2576</v>
      </c>
      <c r="C1158" s="557"/>
      <c r="D1158" s="1848" t="s">
        <v>2370</v>
      </c>
      <c r="E1158" s="1848"/>
      <c r="F1158" s="1848"/>
      <c r="G1158" s="678"/>
    </row>
    <row r="1159" spans="1:7" ht="12.75" customHeight="1">
      <c r="A1159" s="715"/>
      <c r="B1159" s="715"/>
      <c r="C1159" s="557"/>
      <c r="D1159" s="1848"/>
      <c r="E1159" s="1848"/>
      <c r="F1159" s="1848"/>
      <c r="G1159" s="678"/>
    </row>
    <row r="1160" spans="1:7" ht="12.75" customHeight="1">
      <c r="A1160" s="715"/>
      <c r="B1160" s="715"/>
      <c r="C1160" s="557"/>
      <c r="D1160" s="1713"/>
      <c r="E1160" s="6"/>
      <c r="F1160" s="6"/>
      <c r="G1160" s="679"/>
    </row>
    <row r="1161" spans="1:7" ht="12.75" customHeight="1">
      <c r="A1161" s="408"/>
      <c r="B1161" s="1793" t="s">
        <v>1162</v>
      </c>
      <c r="C1161" s="1777"/>
      <c r="D1161" s="1891" t="s">
        <v>2371</v>
      </c>
      <c r="E1161" s="1891"/>
      <c r="F1161" s="1891"/>
      <c r="G1161" s="1778"/>
    </row>
    <row r="1162" spans="1:7" ht="12.75" customHeight="1">
      <c r="A1162" s="1777"/>
      <c r="B1162" s="1777"/>
      <c r="C1162" s="1777"/>
      <c r="D1162" s="1891"/>
      <c r="E1162" s="1891"/>
      <c r="F1162" s="1891"/>
      <c r="G1162" s="1778"/>
    </row>
    <row r="1163" spans="1:7" ht="12.75" customHeight="1">
      <c r="A1163" s="1777"/>
      <c r="B1163" s="1777"/>
      <c r="C1163" s="1777"/>
      <c r="D1163" s="1779"/>
      <c r="E1163" s="1780"/>
      <c r="F1163" s="1780"/>
      <c r="G1163" s="1778"/>
    </row>
    <row r="1164" spans="1:7" ht="12.75" customHeight="1">
      <c r="A1164" s="408"/>
      <c r="B1164" s="1793" t="s">
        <v>1162</v>
      </c>
      <c r="C1164" s="1777"/>
      <c r="D1164" s="2557" t="s">
        <v>2372</v>
      </c>
      <c r="E1164" s="2557"/>
      <c r="F1164" s="2557"/>
      <c r="G1164" s="1778"/>
    </row>
    <row r="1165" spans="1:7" ht="12.75" customHeight="1">
      <c r="A1165" s="1777"/>
      <c r="B1165" s="1777"/>
      <c r="C1165" s="1777"/>
      <c r="D1165" s="1779"/>
      <c r="E1165" s="1780"/>
      <c r="F1165" s="1780"/>
      <c r="G1165" s="1778"/>
    </row>
    <row r="1166" spans="1:7" ht="12.75" customHeight="1">
      <c r="A1166" s="715"/>
      <c r="B1166" s="1793" t="s">
        <v>1162</v>
      </c>
      <c r="C1166" s="557"/>
      <c r="D1166" s="1873" t="s">
        <v>2373</v>
      </c>
      <c r="E1166" s="1873"/>
      <c r="F1166" s="1873"/>
      <c r="G1166" s="679"/>
    </row>
    <row r="1167" spans="1:7" ht="12.75" customHeight="1">
      <c r="A1167" s="715"/>
      <c r="B1167" s="715"/>
      <c r="C1167" s="557"/>
      <c r="D1167" s="1713"/>
      <c r="E1167" s="6"/>
      <c r="F1167" s="6"/>
      <c r="G1167" s="679"/>
    </row>
    <row r="1168" spans="1:7" ht="12.75" customHeight="1">
      <c r="A1168" s="715"/>
      <c r="B1168" s="1793" t="s">
        <v>1162</v>
      </c>
      <c r="C1168" s="557"/>
      <c r="D1168" s="1848" t="s">
        <v>2374</v>
      </c>
      <c r="E1168" s="1848"/>
      <c r="F1168" s="1848"/>
      <c r="G1168" s="679"/>
    </row>
    <row r="1169" spans="1:7" ht="12.75" customHeight="1">
      <c r="A1169" s="715"/>
      <c r="B1169" s="715"/>
      <c r="C1169" s="557"/>
      <c r="D1169" s="1848"/>
      <c r="E1169" s="1848"/>
      <c r="F1169" s="1848"/>
      <c r="G1169" s="679"/>
    </row>
    <row r="1170" spans="1:7" ht="12.75" customHeight="1">
      <c r="A1170" s="1749"/>
      <c r="B1170" s="1749"/>
      <c r="C1170" s="557"/>
      <c r="D1170" s="6"/>
      <c r="E1170" s="6"/>
      <c r="F1170" s="6"/>
      <c r="G1170" s="679"/>
    </row>
    <row r="1171" spans="1:7" ht="12.75" customHeight="1">
      <c r="A1171" s="1883" t="s">
        <v>2375</v>
      </c>
      <c r="B1171" s="1883"/>
      <c r="C1171" s="1883"/>
      <c r="D1171" s="1883"/>
      <c r="E1171" s="1883"/>
      <c r="F1171" s="1883"/>
      <c r="G1171" s="1883"/>
    </row>
    <row r="1172" spans="1:7" ht="12.75" customHeight="1">
      <c r="A1172" s="1749"/>
      <c r="B1172" s="1749"/>
      <c r="C1172" s="557"/>
      <c r="D1172" s="6"/>
      <c r="E1172" s="6"/>
      <c r="F1172" s="6"/>
      <c r="G1172" s="679"/>
    </row>
    <row r="1173" spans="1:7" ht="12.75" customHeight="1">
      <c r="A1173" s="1733"/>
      <c r="B1173" s="1733"/>
      <c r="C1173" s="558"/>
      <c r="D1173" s="1892" t="s">
        <v>2376</v>
      </c>
      <c r="E1173" s="1892"/>
      <c r="F1173" s="1892"/>
      <c r="G1173" s="679"/>
    </row>
    <row r="1174" spans="1:7" ht="12.75" customHeight="1">
      <c r="A1174" s="1733"/>
      <c r="B1174" s="1733"/>
      <c r="C1174" s="558"/>
      <c r="D1174" s="2556" t="s">
        <v>2377</v>
      </c>
      <c r="E1174" s="2556"/>
      <c r="F1174" s="2556"/>
      <c r="G1174" s="679"/>
    </row>
    <row r="1175" spans="1:7" ht="12.75" customHeight="1">
      <c r="A1175" s="675"/>
      <c r="B1175" s="675"/>
      <c r="C1175" s="1722"/>
      <c r="D1175" s="679"/>
      <c r="E1175" s="679"/>
      <c r="F1175" s="679"/>
      <c r="G1175" s="679"/>
    </row>
    <row r="1176" spans="1:7" ht="12.75" customHeight="1">
      <c r="A1176" s="715"/>
      <c r="B1176" s="715"/>
      <c r="C1176" s="314"/>
      <c r="D1176" s="1892" t="s">
        <v>2391</v>
      </c>
      <c r="E1176" s="1892"/>
      <c r="F1176" s="1892"/>
      <c r="G1176" s="679"/>
    </row>
    <row r="1177" spans="1:7" ht="12.75" customHeight="1">
      <c r="A1177" s="1749"/>
      <c r="B1177" s="799" t="s">
        <v>2576</v>
      </c>
      <c r="C1177" s="557"/>
      <c r="D1177" s="2556" t="s">
        <v>1514</v>
      </c>
      <c r="E1177" s="2556"/>
      <c r="F1177" s="2556"/>
      <c r="G1177" s="679"/>
    </row>
    <row r="1178" spans="1:7" s="1790" customFormat="1" ht="12.75" customHeight="1">
      <c r="A1178" s="1749"/>
      <c r="B1178" s="715"/>
      <c r="C1178" s="557"/>
      <c r="D1178" s="2552" t="s">
        <v>2378</v>
      </c>
      <c r="E1178" s="2552"/>
      <c r="F1178" s="2552"/>
      <c r="G1178" s="679"/>
    </row>
    <row r="1179" spans="1:7" ht="12.75" customHeight="1">
      <c r="A1179" s="1749"/>
      <c r="B1179" s="1749"/>
      <c r="C1179" s="557"/>
      <c r="D1179" s="2556"/>
      <c r="E1179" s="2556"/>
      <c r="F1179" s="2556"/>
      <c r="G1179" s="679"/>
    </row>
    <row r="1180" spans="1:7" ht="12.75" customHeight="1">
      <c r="A1180" s="2553" t="s">
        <v>2387</v>
      </c>
      <c r="B1180" s="2553"/>
      <c r="C1180" s="2553"/>
      <c r="D1180" s="2553"/>
      <c r="E1180" s="2553"/>
      <c r="F1180" s="2553"/>
      <c r="G1180" s="2553"/>
    </row>
    <row r="1181" spans="1:7" ht="12.75" customHeight="1">
      <c r="A1181" s="254"/>
      <c r="B1181" s="254"/>
      <c r="C1181" s="1741"/>
      <c r="D1181" s="687"/>
      <c r="E1181" s="687"/>
      <c r="F1181" s="687"/>
      <c r="G1181" s="687"/>
    </row>
    <row r="1182" spans="1:7" ht="12.75" customHeight="1">
      <c r="A1182" s="254"/>
      <c r="B1182" s="1787"/>
      <c r="C1182" s="1794"/>
      <c r="D1182" s="1886" t="s">
        <v>1515</v>
      </c>
      <c r="E1182" s="1886"/>
      <c r="F1182" s="1886"/>
      <c r="G1182" s="687"/>
    </row>
    <row r="1183" spans="1:7" ht="12.75" customHeight="1">
      <c r="A1183" s="254"/>
      <c r="B1183" s="1793" t="s">
        <v>2576</v>
      </c>
      <c r="C1183" s="1794"/>
      <c r="D1183" s="1865" t="s">
        <v>1514</v>
      </c>
      <c r="E1183" s="1865"/>
      <c r="F1183" s="1865"/>
      <c r="G1183" s="687"/>
    </row>
    <row r="1184" spans="1:7" ht="12.75" customHeight="1">
      <c r="A1184" s="254"/>
      <c r="B1184" s="1790"/>
      <c r="C1184" s="1794"/>
      <c r="D1184" s="1865" t="s">
        <v>2388</v>
      </c>
      <c r="E1184" s="1865"/>
      <c r="F1184" s="1865"/>
      <c r="G1184" s="687"/>
    </row>
    <row r="1185" spans="1:7" s="1790" customFormat="1" ht="12.75" customHeight="1">
      <c r="A1185" s="254"/>
      <c r="C1185" s="1794"/>
      <c r="D1185" s="1788"/>
      <c r="E1185" s="1788"/>
      <c r="F1185" s="1788"/>
      <c r="G1185" s="687"/>
    </row>
    <row r="1186" spans="1:7" ht="12.75" customHeight="1">
      <c r="A1186" s="254"/>
      <c r="B1186" s="254"/>
      <c r="C1186" s="1741"/>
      <c r="D1186" s="2554" t="s">
        <v>1188</v>
      </c>
      <c r="E1186" s="2554"/>
      <c r="F1186" s="2554"/>
      <c r="G1186" s="687"/>
    </row>
    <row r="1187" spans="1:7" ht="12.75" customHeight="1">
      <c r="A1187" s="504"/>
      <c r="B1187" s="504"/>
      <c r="C1187" s="503"/>
      <c r="D1187" s="2555" t="s">
        <v>1205</v>
      </c>
      <c r="E1187" s="2555"/>
      <c r="F1187" s="2555"/>
      <c r="G1187" s="1781"/>
    </row>
    <row r="1188" spans="1:7" ht="12.75" customHeight="1">
      <c r="A1188" s="715"/>
      <c r="B1188" s="1793" t="s">
        <v>2577</v>
      </c>
      <c r="C1188" s="558"/>
      <c r="D1188" s="1877" t="s">
        <v>1073</v>
      </c>
      <c r="E1188" s="1877"/>
      <c r="F1188" s="1877"/>
      <c r="G1188" s="679"/>
    </row>
    <row r="1189" spans="1:7" ht="12.75" customHeight="1">
      <c r="A1189" s="1733"/>
      <c r="B1189" s="1733"/>
      <c r="C1189" s="558"/>
      <c r="D1189" s="6"/>
      <c r="E1189" s="2539" t="s">
        <v>1189</v>
      </c>
      <c r="F1189" s="2539"/>
      <c r="G1189" s="679"/>
    </row>
    <row r="1190" spans="1:7">
      <c r="A1190" s="791"/>
      <c r="B1190" s="791"/>
      <c r="C1190" s="791"/>
      <c r="D1190" s="791"/>
      <c r="E1190" s="791"/>
      <c r="F1190" s="791"/>
      <c r="G1190" s="791"/>
    </row>
    <row r="1191" spans="1:7">
      <c r="A1191" s="2553" t="s">
        <v>2413</v>
      </c>
      <c r="B1191" s="2553"/>
      <c r="C1191" s="2553"/>
      <c r="D1191" s="2553"/>
      <c r="E1191" s="2553"/>
      <c r="F1191" s="2553"/>
      <c r="G1191" s="2553"/>
    </row>
    <row r="1192" spans="1:7">
      <c r="A1192" s="791"/>
      <c r="B1192" s="791"/>
      <c r="C1192" s="791"/>
      <c r="D1192" s="791"/>
      <c r="E1192" s="791"/>
      <c r="F1192" s="791"/>
      <c r="G1192" s="791"/>
    </row>
    <row r="1193" spans="1:7">
      <c r="A1193" s="791"/>
      <c r="B1193" s="791"/>
      <c r="C1193" s="791"/>
      <c r="D1193" s="1792" t="s">
        <v>2394</v>
      </c>
      <c r="E1193" s="791"/>
      <c r="F1193" s="791"/>
      <c r="G1193" s="791"/>
    </row>
    <row r="1194" spans="1:7" s="1790" customFormat="1">
      <c r="D1194" s="1789" t="s">
        <v>2393</v>
      </c>
    </row>
    <row r="1195" spans="1:7" s="1790" customFormat="1">
      <c r="D1195" s="1792"/>
    </row>
    <row r="1196" spans="1:7">
      <c r="A1196" s="791"/>
      <c r="B1196" s="1793" t="s">
        <v>2577</v>
      </c>
      <c r="C1196" s="791"/>
      <c r="D1196" s="2560" t="s">
        <v>2392</v>
      </c>
      <c r="E1196" s="2560"/>
      <c r="F1196" s="2560"/>
      <c r="G1196" s="791"/>
    </row>
    <row r="1197" spans="1:7">
      <c r="A1197" s="791"/>
      <c r="B1197" s="791"/>
      <c r="C1197" s="791"/>
      <c r="D1197" s="2560"/>
      <c r="E1197" s="2560"/>
      <c r="F1197" s="2560"/>
      <c r="G1197" s="791"/>
    </row>
    <row r="1198" spans="1:7">
      <c r="A1198" s="791"/>
      <c r="B1198" s="791"/>
      <c r="C1198" s="791"/>
      <c r="D1198" s="2560"/>
      <c r="E1198" s="2560"/>
      <c r="F1198" s="2560"/>
      <c r="G1198" s="791"/>
    </row>
    <row r="1199" spans="1:7">
      <c r="A1199" s="791"/>
      <c r="B1199" s="791"/>
      <c r="C1199" s="791"/>
      <c r="D1199" s="2560"/>
      <c r="E1199" s="2560"/>
      <c r="F1199" s="2560"/>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2395</v>
      </c>
      <c r="E1202" s="791"/>
      <c r="F1202" s="791"/>
      <c r="G1202" s="791"/>
    </row>
    <row r="1203" spans="1:7">
      <c r="A1203" s="791"/>
      <c r="B1203" s="791"/>
      <c r="C1203" s="791"/>
      <c r="D1203" s="791"/>
      <c r="E1203" s="791"/>
      <c r="F1203" s="791"/>
      <c r="G1203" s="791"/>
    </row>
    <row r="1204" spans="1:7">
      <c r="A1204" s="791"/>
      <c r="B1204" s="1793" t="s">
        <v>2576</v>
      </c>
      <c r="C1204" s="791"/>
      <c r="D1204" s="1790" t="s">
        <v>2390</v>
      </c>
      <c r="E1204" s="791"/>
      <c r="F1204" s="791"/>
      <c r="G1204" s="791"/>
    </row>
    <row r="1205" spans="1:7">
      <c r="A1205" s="791"/>
      <c r="B1205" s="791"/>
      <c r="C1205" s="791"/>
      <c r="D1205" s="791"/>
      <c r="E1205" s="791"/>
      <c r="F1205" s="791"/>
      <c r="G1205" s="791"/>
    </row>
    <row r="1206" spans="1:7">
      <c r="A1206" s="791"/>
      <c r="B1206" s="1793" t="s">
        <v>2577</v>
      </c>
      <c r="C1206" s="791"/>
      <c r="D1206" s="2560" t="s">
        <v>2396</v>
      </c>
      <c r="E1206" s="2560"/>
      <c r="F1206" s="2560"/>
      <c r="G1206" s="791"/>
    </row>
    <row r="1207" spans="1:7">
      <c r="A1207" s="791"/>
      <c r="B1207" s="791"/>
      <c r="C1207" s="791"/>
      <c r="D1207" s="2560"/>
      <c r="E1207" s="2560"/>
      <c r="F1207" s="2560"/>
      <c r="G1207" s="791"/>
    </row>
    <row r="1208" spans="1:7">
      <c r="A1208" s="791"/>
      <c r="B1208" s="791"/>
      <c r="C1208" s="791"/>
      <c r="D1208" s="2560"/>
      <c r="E1208" s="2560"/>
      <c r="F1208" s="2560"/>
      <c r="G1208" s="791"/>
    </row>
    <row r="1209" spans="1:7">
      <c r="A1209" s="791"/>
      <c r="B1209" s="791"/>
      <c r="C1209" s="791"/>
      <c r="D1209" s="2560"/>
      <c r="E1209" s="2560"/>
      <c r="F1209" s="2560"/>
      <c r="G1209" s="791"/>
    </row>
    <row r="1210" spans="1:7">
      <c r="A1210" s="791"/>
      <c r="B1210" s="791"/>
      <c r="C1210" s="791"/>
      <c r="D1210" s="2560"/>
      <c r="E1210" s="2560"/>
      <c r="F1210" s="2560"/>
      <c r="G1210" s="791"/>
    </row>
    <row r="1211" spans="1:7">
      <c r="A1211" s="791"/>
      <c r="B1211" s="791"/>
      <c r="C1211" s="791"/>
      <c r="D1211" s="791"/>
      <c r="E1211" s="791"/>
      <c r="F1211" s="791"/>
      <c r="G1211" s="791"/>
    </row>
    <row r="1212" spans="1:7">
      <c r="A1212" s="2553" t="s">
        <v>2397</v>
      </c>
      <c r="B1212" s="2553"/>
      <c r="C1212" s="2553"/>
      <c r="D1212" s="2553"/>
      <c r="E1212" s="2553"/>
      <c r="F1212" s="2553"/>
      <c r="G1212" s="255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2576</v>
      </c>
      <c r="C1215" s="791"/>
      <c r="D1215" s="1785" t="s">
        <v>2400</v>
      </c>
      <c r="E1215" s="1789"/>
      <c r="F1215" s="791"/>
      <c r="G1215" s="791"/>
    </row>
    <row r="1216" spans="1:7">
      <c r="A1216" s="791"/>
      <c r="B1216" s="791"/>
      <c r="C1216" s="791"/>
      <c r="D1216" s="1785" t="s">
        <v>2405</v>
      </c>
      <c r="E1216" s="1789"/>
      <c r="F1216" s="791"/>
      <c r="G1216" s="791"/>
    </row>
    <row r="1217" spans="2:6" s="1790" customFormat="1">
      <c r="D1217" s="1785"/>
      <c r="E1217" s="1789"/>
    </row>
    <row r="1218" spans="2:6" s="791" customFormat="1">
      <c r="B1218" s="1793" t="s">
        <v>2576</v>
      </c>
      <c r="D1218" s="1785" t="s">
        <v>2401</v>
      </c>
      <c r="E1218" s="1789"/>
    </row>
    <row r="1219" spans="2:6" s="1790" customFormat="1">
      <c r="D1219" s="1785"/>
      <c r="E1219" s="1792" t="s">
        <v>2402</v>
      </c>
    </row>
    <row r="1220" spans="2:6" s="1790" customFormat="1">
      <c r="D1220" s="1785" t="s">
        <v>2404</v>
      </c>
      <c r="E1220" s="1789"/>
    </row>
    <row r="1221" spans="2:6" s="1790" customFormat="1">
      <c r="D1221" s="1785"/>
      <c r="E1221" s="1789"/>
    </row>
    <row r="1222" spans="2:6" s="791" customFormat="1">
      <c r="B1222" s="1793" t="s">
        <v>2577</v>
      </c>
      <c r="D1222" s="1785" t="s">
        <v>2406</v>
      </c>
      <c r="E1222" s="1789"/>
    </row>
    <row r="1223" spans="2:6" s="1790" customFormat="1">
      <c r="D1223" s="1785" t="s">
        <v>2403</v>
      </c>
      <c r="E1223" s="1789"/>
    </row>
    <row r="1224" spans="2:6" s="1790" customFormat="1">
      <c r="D1224" s="1785"/>
      <c r="E1224" s="1789"/>
    </row>
    <row r="1225" spans="2:6" s="791" customFormat="1">
      <c r="B1225" s="1793" t="s">
        <v>2577</v>
      </c>
      <c r="D1225" s="1785" t="s">
        <v>2408</v>
      </c>
      <c r="E1225" s="1789"/>
    </row>
    <row r="1226" spans="2:6" s="1790" customFormat="1">
      <c r="D1226" s="1785" t="s">
        <v>2407</v>
      </c>
      <c r="E1226" s="1789"/>
    </row>
    <row r="1227" spans="2:6" s="1790" customFormat="1">
      <c r="D1227" s="1785"/>
      <c r="E1227" s="1789"/>
    </row>
    <row r="1228" spans="2:6" s="791" customFormat="1">
      <c r="B1228" s="1793" t="s">
        <v>2577</v>
      </c>
      <c r="D1228" s="1784" t="s">
        <v>2411</v>
      </c>
      <c r="E1228" s="1789"/>
    </row>
    <row r="1229" spans="2:6" s="1790" customFormat="1">
      <c r="D1229" s="2561" t="s">
        <v>2412</v>
      </c>
      <c r="E1229" s="2561"/>
      <c r="F1229" s="2561"/>
    </row>
    <row r="1230" spans="2:6" s="1790" customFormat="1">
      <c r="D1230" s="2561"/>
      <c r="E1230" s="2561"/>
      <c r="F1230" s="2561"/>
    </row>
    <row r="1231" spans="2:6" s="1790" customFormat="1">
      <c r="D1231" s="2561"/>
      <c r="E1231" s="2561"/>
      <c r="F1231" s="2561"/>
    </row>
    <row r="1232" spans="2:6" s="1790" customFormat="1">
      <c r="D1232" s="2561"/>
      <c r="E1232" s="2561"/>
      <c r="F1232" s="2561"/>
    </row>
    <row r="1233" spans="1:7" s="1790" customFormat="1">
      <c r="D1233" s="1784" t="s">
        <v>2410</v>
      </c>
      <c r="E1233" s="1789"/>
    </row>
    <row r="1234" spans="1:7" s="1790" customFormat="1">
      <c r="D1234" s="1784"/>
      <c r="E1234" s="1789"/>
    </row>
    <row r="1235" spans="1:7">
      <c r="A1235" s="791"/>
      <c r="B1235" s="791"/>
      <c r="C1235" s="791"/>
      <c r="D1235" s="1785" t="s">
        <v>2398</v>
      </c>
      <c r="E1235" s="1789"/>
      <c r="F1235" s="791"/>
      <c r="G1235" s="791"/>
    </row>
    <row r="1236" spans="1:7">
      <c r="A1236" s="791"/>
      <c r="B1236" s="1793" t="s">
        <v>2577</v>
      </c>
      <c r="C1236" s="791"/>
      <c r="D1236" s="2558" t="s">
        <v>2399</v>
      </c>
      <c r="E1236" s="2558"/>
      <c r="F1236" s="2558"/>
      <c r="G1236" s="791"/>
    </row>
    <row r="1237" spans="1:7" s="1790" customFormat="1">
      <c r="D1237" s="2558"/>
      <c r="E1237" s="2558"/>
      <c r="F1237" s="2558"/>
    </row>
    <row r="1238" spans="1:7" s="1790" customFormat="1">
      <c r="D1238" s="2558"/>
      <c r="E1238" s="2558"/>
      <c r="F1238" s="2558"/>
    </row>
    <row r="1239" spans="1:7" s="1790" customFormat="1">
      <c r="D1239" s="2558"/>
      <c r="E1239" s="2558"/>
      <c r="F1239" s="2558"/>
    </row>
    <row r="1240" spans="1:7">
      <c r="A1240" s="791"/>
      <c r="B1240" s="791"/>
      <c r="C1240" s="791"/>
      <c r="D1240" s="2558"/>
      <c r="E1240" s="2558"/>
      <c r="F1240" s="2558"/>
      <c r="G1240" s="791"/>
    </row>
    <row r="1241" spans="1:7">
      <c r="A1241" s="791"/>
      <c r="B1241" s="791"/>
      <c r="C1241" s="791"/>
      <c r="D1241" s="1785" t="s">
        <v>2409</v>
      </c>
      <c r="E1241" s="791"/>
      <c r="F1241" s="791"/>
      <c r="G1241" s="791"/>
    </row>
    <row r="1242" spans="1:7">
      <c r="A1242" s="791"/>
      <c r="B1242" s="791"/>
      <c r="C1242" s="791"/>
      <c r="D1242" s="791"/>
      <c r="E1242" s="791"/>
      <c r="F1242" s="791"/>
      <c r="G1242" s="791"/>
    </row>
    <row r="1243" spans="1:7">
      <c r="A1243" s="2553" t="s">
        <v>2414</v>
      </c>
      <c r="B1243" s="2553"/>
      <c r="C1243" s="2553"/>
      <c r="D1243" s="2553"/>
      <c r="E1243" s="2553"/>
      <c r="F1243" s="2553"/>
      <c r="G1243" s="255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2576</v>
      </c>
      <c r="C1246" s="791"/>
      <c r="D1246" s="2558" t="s">
        <v>2415</v>
      </c>
      <c r="E1246" s="2558"/>
      <c r="F1246" s="2558"/>
      <c r="G1246" s="791"/>
    </row>
    <row r="1247" spans="1:7" s="1790" customFormat="1">
      <c r="D1247" s="2558"/>
      <c r="E1247" s="2558"/>
      <c r="F1247" s="2558"/>
    </row>
    <row r="1248" spans="1:7" s="1790" customFormat="1">
      <c r="D1248" s="2558"/>
      <c r="E1248" s="2558"/>
      <c r="F1248" s="2558"/>
    </row>
    <row r="1249" spans="1:7" s="1790" customFormat="1">
      <c r="D1249" s="1785"/>
    </row>
    <row r="1250" spans="1:7">
      <c r="A1250" s="791"/>
      <c r="B1250" s="1793" t="s">
        <v>2577</v>
      </c>
      <c r="C1250" s="791"/>
      <c r="D1250" s="2558" t="s">
        <v>2416</v>
      </c>
      <c r="E1250" s="2558"/>
      <c r="F1250" s="2558"/>
      <c r="G1250" s="791"/>
    </row>
    <row r="1251" spans="1:7" s="1790" customFormat="1">
      <c r="D1251" s="2558"/>
      <c r="E1251" s="2558"/>
      <c r="F1251" s="2558"/>
    </row>
    <row r="1252" spans="1:7" s="1790" customFormat="1">
      <c r="D1252" s="1785"/>
    </row>
    <row r="1253" spans="1:7">
      <c r="A1253" s="791"/>
      <c r="B1253" s="1793" t="s">
        <v>2577</v>
      </c>
      <c r="C1253" s="791"/>
      <c r="D1253" s="2558" t="s">
        <v>2417</v>
      </c>
      <c r="E1253" s="2558"/>
      <c r="F1253" s="2558"/>
      <c r="G1253" s="791"/>
    </row>
    <row r="1254" spans="1:7" s="1790" customFormat="1">
      <c r="D1254" s="2558"/>
      <c r="E1254" s="2558"/>
      <c r="F1254" s="2558"/>
    </row>
    <row r="1255" spans="1:7" s="1790" customFormat="1">
      <c r="D1255" s="2558"/>
      <c r="E1255" s="2558"/>
      <c r="F1255" s="2558"/>
    </row>
    <row r="1256" spans="1:7" s="1790" customFormat="1">
      <c r="D1256" s="2558"/>
      <c r="E1256" s="2558"/>
      <c r="F1256" s="2558"/>
    </row>
    <row r="1257" spans="1:7" s="1790" customFormat="1">
      <c r="D1257" s="2558"/>
      <c r="E1257" s="2558"/>
      <c r="F1257" s="2558"/>
    </row>
    <row r="1258" spans="1:7" s="1791" customFormat="1">
      <c r="B1258" s="1790"/>
      <c r="D1258" s="1785"/>
    </row>
    <row r="1259" spans="1:7">
      <c r="A1259" s="791"/>
      <c r="B1259" s="1793" t="s">
        <v>2577</v>
      </c>
      <c r="C1259" s="791"/>
      <c r="D1259" s="2558" t="s">
        <v>2418</v>
      </c>
      <c r="E1259" s="2558"/>
      <c r="F1259" s="2558"/>
      <c r="G1259" s="791"/>
    </row>
    <row r="1260" spans="1:7" s="1790" customFormat="1">
      <c r="D1260" s="2558"/>
      <c r="E1260" s="2558"/>
      <c r="F1260" s="2558"/>
    </row>
    <row r="1261" spans="1:7" s="1790" customFormat="1">
      <c r="D1261" s="2558"/>
      <c r="E1261" s="2558"/>
      <c r="F1261" s="2558"/>
    </row>
    <row r="1262" spans="1:7" s="1790" customFormat="1">
      <c r="D1262" s="1785"/>
    </row>
    <row r="1263" spans="1:7">
      <c r="A1263" s="791"/>
      <c r="B1263" s="1793" t="s">
        <v>2576</v>
      </c>
      <c r="C1263" s="791"/>
      <c r="D1263" s="2559" t="s">
        <v>2419</v>
      </c>
      <c r="E1263" s="2559"/>
      <c r="F1263" s="2559"/>
      <c r="G1263" s="791"/>
    </row>
    <row r="1264" spans="1:7">
      <c r="A1264" s="791"/>
      <c r="B1264" s="791"/>
      <c r="C1264" s="791"/>
      <c r="D1264" s="2559"/>
      <c r="E1264" s="2559"/>
      <c r="F1264" s="2559"/>
      <c r="G1264" s="791"/>
    </row>
    <row r="1265" spans="1:7">
      <c r="A1265" s="791"/>
      <c r="B1265" s="791"/>
      <c r="C1265" s="791"/>
      <c r="D1265" s="2559"/>
      <c r="E1265" s="2559"/>
      <c r="F1265" s="2559"/>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4"/>
      <c r="H1680" s="1864"/>
      <c r="I1680" s="186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ySplit="1" topLeftCell="A65" activePane="bottomLeft" state="frozen"/>
      <selection pane="bottomLeft" activeCell="L91" sqref="L91"/>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583</v>
      </c>
      <c r="B1" s="189"/>
      <c r="C1" s="189"/>
      <c r="D1" s="189"/>
      <c r="E1" s="190"/>
      <c r="F1" s="2570" t="s">
        <v>657</v>
      </c>
      <c r="G1" s="2571"/>
      <c r="H1" s="2571"/>
      <c r="I1" s="2571"/>
      <c r="J1" s="2571"/>
      <c r="K1" s="2571"/>
      <c r="L1" s="2571"/>
      <c r="M1" s="2571"/>
      <c r="N1" s="2571"/>
      <c r="O1" s="2571"/>
      <c r="P1" s="2571"/>
      <c r="Q1" s="2571"/>
      <c r="R1" s="2572"/>
      <c r="S1" s="168"/>
      <c r="T1" s="167"/>
      <c r="U1" s="169"/>
    </row>
    <row r="2" spans="1:21" s="208" customFormat="1" ht="71.25" customHeight="1">
      <c r="A2" s="207"/>
      <c r="B2" s="208" t="s">
        <v>24</v>
      </c>
      <c r="C2" s="208" t="s">
        <v>394</v>
      </c>
      <c r="D2" s="208" t="s">
        <v>393</v>
      </c>
      <c r="E2" s="208" t="s">
        <v>25</v>
      </c>
      <c r="F2" s="209" t="str">
        <f>Application!B637&amp;Application!C637</f>
        <v>1)Citibank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4050000</v>
      </c>
      <c r="C4" s="217">
        <v>4050000</v>
      </c>
      <c r="D4" s="217"/>
      <c r="E4" s="217">
        <v>0</v>
      </c>
      <c r="F4" s="217">
        <v>4050000</v>
      </c>
      <c r="G4" s="217">
        <v>0</v>
      </c>
      <c r="H4" s="217"/>
      <c r="I4" s="217"/>
      <c r="J4" s="217"/>
      <c r="K4" s="217"/>
      <c r="L4" s="217"/>
      <c r="M4" s="217"/>
      <c r="N4" s="217"/>
      <c r="O4" s="217"/>
      <c r="P4" s="217"/>
      <c r="Q4" s="217"/>
      <c r="R4" s="881">
        <f>SUM(E4:Q4)</f>
        <v>4050000</v>
      </c>
      <c r="S4" s="218"/>
      <c r="T4" s="218"/>
      <c r="U4" s="213"/>
    </row>
    <row r="5" spans="1:21" s="214" customFormat="1">
      <c r="A5" s="215" t="s">
        <v>29</v>
      </c>
      <c r="B5" s="216">
        <f>SUM(C5+D5)</f>
        <v>0</v>
      </c>
      <c r="C5" s="217"/>
      <c r="D5" s="217"/>
      <c r="E5" s="217">
        <f t="shared" ref="E5:E7" si="0">C5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ht="12">
      <c r="A8" s="219" t="s">
        <v>629</v>
      </c>
      <c r="B8" s="216">
        <f>SUM(C8:D8)</f>
        <v>4050000</v>
      </c>
      <c r="C8" s="216">
        <f t="shared" ref="C8:Q8" si="1">SUM(C4:C7)</f>
        <v>4050000</v>
      </c>
      <c r="D8" s="216">
        <f t="shared" si="1"/>
        <v>0</v>
      </c>
      <c r="E8" s="216">
        <f t="shared" si="1"/>
        <v>0</v>
      </c>
      <c r="F8" s="216">
        <f t="shared" si="1"/>
        <v>4050000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4050000</v>
      </c>
      <c r="S8" s="218"/>
      <c r="T8" s="218"/>
      <c r="U8" s="213"/>
    </row>
    <row r="9" spans="1:21" s="214" customFormat="1">
      <c r="A9" s="215" t="s">
        <v>630</v>
      </c>
      <c r="B9" s="216">
        <f>SUM(C9+D9)</f>
        <v>0</v>
      </c>
      <c r="C9" s="217"/>
      <c r="D9" s="217"/>
      <c r="E9" s="217">
        <f t="shared" ref="E9:E10" si="2">C9</f>
        <v>0</v>
      </c>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150000</v>
      </c>
      <c r="C10" s="217">
        <v>150000</v>
      </c>
      <c r="D10" s="217"/>
      <c r="E10" s="217">
        <f t="shared" si="2"/>
        <v>150000</v>
      </c>
      <c r="F10" s="217"/>
      <c r="G10" s="217">
        <v>0</v>
      </c>
      <c r="H10" s="217"/>
      <c r="I10" s="217"/>
      <c r="J10" s="217"/>
      <c r="K10" s="217"/>
      <c r="L10" s="217"/>
      <c r="M10" s="217"/>
      <c r="N10" s="217"/>
      <c r="O10" s="217"/>
      <c r="P10" s="217"/>
      <c r="Q10" s="217"/>
      <c r="R10" s="881">
        <f>SUM(E10:Q10)</f>
        <v>150000</v>
      </c>
      <c r="S10" s="217">
        <v>150000</v>
      </c>
      <c r="T10" s="217"/>
      <c r="U10" s="213"/>
    </row>
    <row r="11" spans="1:21" s="214" customFormat="1" ht="12">
      <c r="A11" s="219" t="s">
        <v>632</v>
      </c>
      <c r="B11" s="216">
        <f>SUM(C11:D11)</f>
        <v>150000</v>
      </c>
      <c r="C11" s="216">
        <f t="shared" ref="C11:Q11" si="3">SUM(C9:C10)</f>
        <v>150000</v>
      </c>
      <c r="D11" s="216">
        <f t="shared" si="3"/>
        <v>0</v>
      </c>
      <c r="E11" s="216">
        <f t="shared" si="3"/>
        <v>150000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150000</v>
      </c>
      <c r="S11" s="218"/>
      <c r="T11" s="220">
        <f>SUM(T9:T10)</f>
        <v>0</v>
      </c>
      <c r="U11" s="213"/>
    </row>
    <row r="12" spans="1:21" s="214" customFormat="1" ht="12">
      <c r="A12" s="219" t="s">
        <v>89</v>
      </c>
      <c r="B12" s="216">
        <f t="shared" ref="B12:Q12" si="4">SUM(B8+B11)</f>
        <v>4200000</v>
      </c>
      <c r="C12" s="216">
        <f t="shared" si="4"/>
        <v>4200000</v>
      </c>
      <c r="D12" s="216">
        <f t="shared" si="4"/>
        <v>0</v>
      </c>
      <c r="E12" s="216">
        <f t="shared" si="4"/>
        <v>150000</v>
      </c>
      <c r="F12" s="216">
        <f t="shared" si="4"/>
        <v>4050000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4200000</v>
      </c>
      <c r="S12" s="218"/>
      <c r="T12" s="218"/>
      <c r="U12" s="213"/>
    </row>
    <row r="13" spans="1:21" s="214" customFormat="1">
      <c r="A13" s="450" t="s">
        <v>974</v>
      </c>
      <c r="B13" s="216">
        <f>SUM(C13+D13)</f>
        <v>0</v>
      </c>
      <c r="C13" s="217">
        <v>0</v>
      </c>
      <c r="D13" s="217"/>
      <c r="E13" s="217">
        <f t="shared" ref="E13:E15" si="5">C13</f>
        <v>0</v>
      </c>
      <c r="F13" s="217"/>
      <c r="G13" s="217"/>
      <c r="H13" s="217"/>
      <c r="I13" s="217"/>
      <c r="J13" s="217"/>
      <c r="K13" s="217"/>
      <c r="L13" s="217"/>
      <c r="M13" s="217"/>
      <c r="N13" s="217"/>
      <c r="O13" s="217"/>
      <c r="P13" s="217"/>
      <c r="Q13" s="217"/>
      <c r="R13" s="881">
        <f>SUM(E13:Q13)</f>
        <v>0</v>
      </c>
      <c r="S13" s="217">
        <v>0</v>
      </c>
      <c r="T13" s="217"/>
      <c r="U13" s="213"/>
    </row>
    <row r="14" spans="1:21" s="214" customFormat="1" ht="22.8">
      <c r="A14" s="451" t="s">
        <v>2012</v>
      </c>
      <c r="B14" s="216">
        <f>SUM(C14+D14)</f>
        <v>0</v>
      </c>
      <c r="C14" s="217"/>
      <c r="D14" s="217"/>
      <c r="E14" s="217">
        <f t="shared" si="5"/>
        <v>0</v>
      </c>
      <c r="F14" s="217"/>
      <c r="G14" s="217"/>
      <c r="H14" s="217"/>
      <c r="I14" s="217"/>
      <c r="J14" s="217"/>
      <c r="K14" s="217"/>
      <c r="L14" s="217"/>
      <c r="M14" s="217"/>
      <c r="N14" s="217"/>
      <c r="O14" s="217"/>
      <c r="P14" s="217"/>
      <c r="Q14" s="217"/>
      <c r="R14" s="881">
        <f>SUM(E14:Q14)</f>
        <v>0</v>
      </c>
      <c r="S14" s="217">
        <f>R14</f>
        <v>0</v>
      </c>
      <c r="T14" s="217"/>
      <c r="U14" s="213"/>
    </row>
    <row r="15" spans="1:21" s="214" customFormat="1">
      <c r="A15" s="451" t="s">
        <v>1359</v>
      </c>
      <c r="B15" s="216">
        <f>SUM(C15+D15)</f>
        <v>0</v>
      </c>
      <c r="C15" s="217"/>
      <c r="D15" s="217"/>
      <c r="E15" s="217">
        <f t="shared" si="5"/>
        <v>0</v>
      </c>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6">SUM(C17+D17)</f>
        <v>0</v>
      </c>
      <c r="C17" s="217"/>
      <c r="D17" s="217"/>
      <c r="E17" s="217">
        <f t="shared" ref="E17:E25" si="7">C17</f>
        <v>0</v>
      </c>
      <c r="F17" s="217"/>
      <c r="G17" s="217"/>
      <c r="H17" s="217"/>
      <c r="I17" s="217"/>
      <c r="J17" s="217"/>
      <c r="K17" s="217"/>
      <c r="L17" s="217"/>
      <c r="M17" s="217"/>
      <c r="N17" s="217"/>
      <c r="O17" s="217"/>
      <c r="P17" s="217"/>
      <c r="Q17" s="217"/>
      <c r="R17" s="881">
        <f>SUM(E17:Q17)</f>
        <v>0</v>
      </c>
      <c r="S17" s="217">
        <f t="shared" ref="S17:S25" si="8">R17</f>
        <v>0</v>
      </c>
      <c r="T17" s="217"/>
      <c r="U17" s="213"/>
    </row>
    <row r="18" spans="1:21" s="214" customFormat="1">
      <c r="A18" s="215" t="s">
        <v>635</v>
      </c>
      <c r="B18" s="216">
        <f t="shared" si="6"/>
        <v>0</v>
      </c>
      <c r="C18" s="217"/>
      <c r="D18" s="217"/>
      <c r="E18" s="217">
        <f t="shared" si="7"/>
        <v>0</v>
      </c>
      <c r="F18" s="217"/>
      <c r="G18" s="217"/>
      <c r="H18" s="217"/>
      <c r="I18" s="217"/>
      <c r="J18" s="217"/>
      <c r="K18" s="217"/>
      <c r="L18" s="217"/>
      <c r="M18" s="217"/>
      <c r="N18" s="217"/>
      <c r="O18" s="217"/>
      <c r="P18" s="217"/>
      <c r="Q18" s="217"/>
      <c r="R18" s="881">
        <f>SUM(E18:Q18)</f>
        <v>0</v>
      </c>
      <c r="S18" s="217">
        <f t="shared" si="8"/>
        <v>0</v>
      </c>
      <c r="T18" s="217"/>
      <c r="U18" s="213"/>
    </row>
    <row r="19" spans="1:21" s="214" customFormat="1">
      <c r="A19" s="215" t="s">
        <v>636</v>
      </c>
      <c r="B19" s="216">
        <f t="shared" si="6"/>
        <v>0</v>
      </c>
      <c r="C19" s="217"/>
      <c r="D19" s="217"/>
      <c r="E19" s="217">
        <f t="shared" si="7"/>
        <v>0</v>
      </c>
      <c r="F19" s="217"/>
      <c r="G19" s="217"/>
      <c r="H19" s="217"/>
      <c r="I19" s="217"/>
      <c r="J19" s="217"/>
      <c r="K19" s="217"/>
      <c r="L19" s="217"/>
      <c r="M19" s="217"/>
      <c r="N19" s="217"/>
      <c r="O19" s="217"/>
      <c r="P19" s="217"/>
      <c r="Q19" s="217"/>
      <c r="R19" s="881">
        <f>SUM(E19:Q19)</f>
        <v>0</v>
      </c>
      <c r="S19" s="217">
        <f t="shared" si="8"/>
        <v>0</v>
      </c>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81">
        <f t="shared" ref="R20:R27" si="9">SUM(E20:Q20)</f>
        <v>0</v>
      </c>
      <c r="S20" s="217">
        <f t="shared" si="8"/>
        <v>0</v>
      </c>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81">
        <f t="shared" si="9"/>
        <v>0</v>
      </c>
      <c r="S21" s="217">
        <f t="shared" si="8"/>
        <v>0</v>
      </c>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81">
        <f t="shared" si="9"/>
        <v>0</v>
      </c>
      <c r="S22" s="217">
        <f t="shared" si="8"/>
        <v>0</v>
      </c>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81">
        <f t="shared" si="9"/>
        <v>0</v>
      </c>
      <c r="S23" s="217">
        <f t="shared" si="8"/>
        <v>0</v>
      </c>
      <c r="T23" s="217"/>
      <c r="U23" s="213"/>
    </row>
    <row r="24" spans="1:21" s="214" customFormat="1">
      <c r="A24" s="860" t="s">
        <v>2009</v>
      </c>
      <c r="B24" s="216"/>
      <c r="C24" s="217"/>
      <c r="D24" s="217"/>
      <c r="E24" s="217">
        <f t="shared" si="7"/>
        <v>0</v>
      </c>
      <c r="F24" s="217"/>
      <c r="G24" s="217"/>
      <c r="H24" s="217"/>
      <c r="I24" s="217"/>
      <c r="J24" s="217"/>
      <c r="K24" s="217"/>
      <c r="L24" s="217"/>
      <c r="M24" s="217"/>
      <c r="N24" s="217"/>
      <c r="O24" s="217"/>
      <c r="P24" s="217"/>
      <c r="Q24" s="217"/>
      <c r="R24" s="881"/>
      <c r="S24" s="217">
        <f t="shared" si="8"/>
        <v>0</v>
      </c>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81">
        <f t="shared" si="9"/>
        <v>0</v>
      </c>
      <c r="S25" s="217">
        <f t="shared" si="8"/>
        <v>0</v>
      </c>
      <c r="T25" s="217"/>
      <c r="U25" s="213"/>
    </row>
    <row r="26" spans="1:21" s="214" customFormat="1" ht="12">
      <c r="A26" s="219" t="s">
        <v>138</v>
      </c>
      <c r="B26" s="216">
        <f t="shared" si="6"/>
        <v>0</v>
      </c>
      <c r="C26" s="216">
        <f>SUM(C17:C25)</f>
        <v>0</v>
      </c>
      <c r="D26" s="216">
        <f t="shared" ref="D26:Q26" si="10">SUM(D17:D25)</f>
        <v>0</v>
      </c>
      <c r="E26" s="216">
        <f t="shared" si="10"/>
        <v>0</v>
      </c>
      <c r="F26" s="216">
        <f t="shared" si="10"/>
        <v>0</v>
      </c>
      <c r="G26" s="216">
        <f t="shared" si="10"/>
        <v>0</v>
      </c>
      <c r="H26" s="216">
        <f t="shared" si="10"/>
        <v>0</v>
      </c>
      <c r="I26" s="216">
        <f t="shared" si="10"/>
        <v>0</v>
      </c>
      <c r="J26" s="216">
        <f t="shared" si="10"/>
        <v>0</v>
      </c>
      <c r="K26" s="216">
        <f t="shared" si="10"/>
        <v>0</v>
      </c>
      <c r="L26" s="216">
        <f t="shared" si="10"/>
        <v>0</v>
      </c>
      <c r="M26" s="216">
        <f t="shared" si="10"/>
        <v>0</v>
      </c>
      <c r="N26" s="216">
        <f t="shared" si="10"/>
        <v>0</v>
      </c>
      <c r="O26" s="216">
        <f t="shared" si="10"/>
        <v>0</v>
      </c>
      <c r="P26" s="216">
        <f t="shared" si="10"/>
        <v>0</v>
      </c>
      <c r="Q26" s="216">
        <f t="shared" si="10"/>
        <v>0</v>
      </c>
      <c r="R26" s="535">
        <f>SUM(R17:R25)</f>
        <v>0</v>
      </c>
      <c r="S26" s="220">
        <f>SUM(S17:S25)</f>
        <v>0</v>
      </c>
      <c r="T26" s="220">
        <f>SUM(T17:T25)</f>
        <v>0</v>
      </c>
      <c r="U26" s="213"/>
    </row>
    <row r="27" spans="1:21" s="214" customFormat="1" ht="12">
      <c r="A27" s="219" t="s">
        <v>146</v>
      </c>
      <c r="B27" s="216">
        <f>SUM(C27:D27)</f>
        <v>204437</v>
      </c>
      <c r="C27" s="217">
        <v>204437</v>
      </c>
      <c r="D27" s="217"/>
      <c r="E27" s="217">
        <f>C27</f>
        <v>204437</v>
      </c>
      <c r="F27" s="217"/>
      <c r="G27" s="217"/>
      <c r="H27" s="217"/>
      <c r="I27" s="217"/>
      <c r="J27" s="217"/>
      <c r="K27" s="217"/>
      <c r="L27" s="217"/>
      <c r="M27" s="217"/>
      <c r="N27" s="217"/>
      <c r="O27" s="217"/>
      <c r="P27" s="217"/>
      <c r="Q27" s="217"/>
      <c r="R27" s="881">
        <f t="shared" si="9"/>
        <v>204437</v>
      </c>
      <c r="S27" s="217">
        <v>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11">SUM(C29+D29)</f>
        <v>3073000</v>
      </c>
      <c r="C29" s="217">
        <v>3073000</v>
      </c>
      <c r="D29" s="217"/>
      <c r="E29" s="217">
        <f t="shared" ref="E29:E37" si="12">C29</f>
        <v>3073000</v>
      </c>
      <c r="F29" s="217"/>
      <c r="G29" s="217"/>
      <c r="H29" s="217"/>
      <c r="I29" s="217"/>
      <c r="J29" s="217"/>
      <c r="K29" s="217"/>
      <c r="L29" s="217"/>
      <c r="M29" s="217"/>
      <c r="N29" s="217"/>
      <c r="O29" s="217"/>
      <c r="P29" s="217"/>
      <c r="Q29" s="217"/>
      <c r="R29" s="881">
        <f t="shared" ref="R29:R37" si="13">SUM(E29:Q29)</f>
        <v>3073000</v>
      </c>
      <c r="S29" s="217">
        <f>R29</f>
        <v>3073000</v>
      </c>
      <c r="T29" s="217"/>
      <c r="U29" s="213"/>
    </row>
    <row r="30" spans="1:21" s="214" customFormat="1">
      <c r="A30" s="215" t="s">
        <v>635</v>
      </c>
      <c r="B30" s="216">
        <f t="shared" si="11"/>
        <v>27827961</v>
      </c>
      <c r="C30" s="217">
        <v>27827961</v>
      </c>
      <c r="D30" s="217"/>
      <c r="E30" s="217">
        <f>C30-F30</f>
        <v>5790304.3333333321</v>
      </c>
      <c r="F30" s="217">
        <f>Application!AO637-SUM('Sources and Uses Budget'!F57:F61)-F4</f>
        <v>22037656.666666668</v>
      </c>
      <c r="G30" s="217"/>
      <c r="H30" s="217"/>
      <c r="I30" s="217"/>
      <c r="J30" s="217"/>
      <c r="K30" s="217"/>
      <c r="L30" s="217"/>
      <c r="M30" s="217"/>
      <c r="N30" s="217"/>
      <c r="O30" s="217"/>
      <c r="P30" s="217"/>
      <c r="Q30" s="217"/>
      <c r="R30" s="881">
        <f t="shared" si="13"/>
        <v>27827961</v>
      </c>
      <c r="S30" s="217">
        <f t="shared" ref="S30:S37" si="14">R30</f>
        <v>27827961</v>
      </c>
      <c r="T30" s="217"/>
      <c r="U30" s="213"/>
    </row>
    <row r="31" spans="1:21" s="214" customFormat="1">
      <c r="A31" s="215" t="s">
        <v>636</v>
      </c>
      <c r="B31" s="216">
        <f t="shared" si="11"/>
        <v>1242038</v>
      </c>
      <c r="C31" s="217">
        <v>1242038</v>
      </c>
      <c r="D31" s="217"/>
      <c r="E31" s="217">
        <f t="shared" si="12"/>
        <v>1242038</v>
      </c>
      <c r="F31" s="217"/>
      <c r="G31" s="217"/>
      <c r="H31" s="217"/>
      <c r="I31" s="217"/>
      <c r="J31" s="217"/>
      <c r="K31" s="217"/>
      <c r="L31" s="217"/>
      <c r="M31" s="217"/>
      <c r="N31" s="217"/>
      <c r="O31" s="217"/>
      <c r="P31" s="217"/>
      <c r="Q31" s="217"/>
      <c r="R31" s="881">
        <f t="shared" si="13"/>
        <v>1242038</v>
      </c>
      <c r="S31" s="217">
        <f t="shared" si="14"/>
        <v>1242038</v>
      </c>
      <c r="T31" s="217"/>
      <c r="U31" s="213"/>
    </row>
    <row r="32" spans="1:21" s="214" customFormat="1">
      <c r="A32" s="215" t="s">
        <v>142</v>
      </c>
      <c r="B32" s="216">
        <f t="shared" si="11"/>
        <v>1863058</v>
      </c>
      <c r="C32" s="217">
        <v>1863058</v>
      </c>
      <c r="D32" s="217"/>
      <c r="E32" s="217">
        <f t="shared" si="12"/>
        <v>1863058</v>
      </c>
      <c r="F32" s="217"/>
      <c r="G32" s="217"/>
      <c r="H32" s="217"/>
      <c r="I32" s="217"/>
      <c r="J32" s="217"/>
      <c r="K32" s="217"/>
      <c r="L32" s="217"/>
      <c r="M32" s="217"/>
      <c r="N32" s="217"/>
      <c r="O32" s="217"/>
      <c r="P32" s="217"/>
      <c r="Q32" s="217"/>
      <c r="R32" s="881">
        <f t="shared" si="13"/>
        <v>1863058</v>
      </c>
      <c r="S32" s="217">
        <f t="shared" si="14"/>
        <v>1863058</v>
      </c>
      <c r="T32" s="217"/>
      <c r="U32" s="213"/>
    </row>
    <row r="33" spans="1:21" s="214" customFormat="1">
      <c r="A33" s="215" t="s">
        <v>143</v>
      </c>
      <c r="B33" s="216">
        <f t="shared" si="11"/>
        <v>1242038</v>
      </c>
      <c r="C33" s="217">
        <f>C31</f>
        <v>1242038</v>
      </c>
      <c r="D33" s="217"/>
      <c r="E33" s="217">
        <f t="shared" si="12"/>
        <v>1242038</v>
      </c>
      <c r="F33" s="217"/>
      <c r="G33" s="217"/>
      <c r="H33" s="217"/>
      <c r="I33" s="217"/>
      <c r="J33" s="217"/>
      <c r="K33" s="217"/>
      <c r="L33" s="217"/>
      <c r="M33" s="217"/>
      <c r="N33" s="217"/>
      <c r="O33" s="217"/>
      <c r="P33" s="217"/>
      <c r="Q33" s="217"/>
      <c r="R33" s="881">
        <f t="shared" si="13"/>
        <v>1242038</v>
      </c>
      <c r="S33" s="217">
        <f t="shared" si="14"/>
        <v>1242038</v>
      </c>
      <c r="T33" s="217"/>
      <c r="U33" s="213"/>
    </row>
    <row r="34" spans="1:21" s="214" customFormat="1">
      <c r="A34" s="215" t="s">
        <v>144</v>
      </c>
      <c r="B34" s="216">
        <f t="shared" si="11"/>
        <v>0</v>
      </c>
      <c r="C34" s="217"/>
      <c r="D34" s="217"/>
      <c r="E34" s="217">
        <f t="shared" si="12"/>
        <v>0</v>
      </c>
      <c r="F34" s="217"/>
      <c r="G34" s="217"/>
      <c r="H34" s="217"/>
      <c r="I34" s="217"/>
      <c r="J34" s="217"/>
      <c r="K34" s="217"/>
      <c r="L34" s="217"/>
      <c r="M34" s="217"/>
      <c r="N34" s="217"/>
      <c r="O34" s="217"/>
      <c r="P34" s="217"/>
      <c r="Q34" s="217"/>
      <c r="R34" s="881">
        <f t="shared" si="13"/>
        <v>0</v>
      </c>
      <c r="S34" s="217">
        <f t="shared" si="14"/>
        <v>0</v>
      </c>
      <c r="T34" s="217"/>
      <c r="U34" s="213"/>
    </row>
    <row r="35" spans="1:21" s="214" customFormat="1">
      <c r="A35" s="215" t="s">
        <v>145</v>
      </c>
      <c r="B35" s="216">
        <f t="shared" si="11"/>
        <v>530971</v>
      </c>
      <c r="C35" s="217">
        <v>530971</v>
      </c>
      <c r="D35" s="217"/>
      <c r="E35" s="217">
        <f t="shared" si="12"/>
        <v>530971</v>
      </c>
      <c r="F35" s="217"/>
      <c r="G35" s="217"/>
      <c r="H35" s="217"/>
      <c r="I35" s="217"/>
      <c r="J35" s="217"/>
      <c r="K35" s="217"/>
      <c r="L35" s="217"/>
      <c r="M35" s="217"/>
      <c r="N35" s="217"/>
      <c r="O35" s="217"/>
      <c r="P35" s="217"/>
      <c r="Q35" s="217"/>
      <c r="R35" s="881">
        <f t="shared" si="13"/>
        <v>530971</v>
      </c>
      <c r="S35" s="217">
        <f t="shared" si="14"/>
        <v>530971</v>
      </c>
      <c r="T35" s="217"/>
      <c r="U35" s="213"/>
    </row>
    <row r="36" spans="1:21" s="214" customFormat="1">
      <c r="A36" s="1827" t="s">
        <v>2009</v>
      </c>
      <c r="B36" s="216"/>
      <c r="C36" s="217"/>
      <c r="D36" s="217"/>
      <c r="E36" s="217">
        <f t="shared" si="12"/>
        <v>0</v>
      </c>
      <c r="F36" s="217"/>
      <c r="G36" s="217"/>
      <c r="H36" s="217"/>
      <c r="I36" s="217"/>
      <c r="J36" s="217"/>
      <c r="K36" s="217"/>
      <c r="L36" s="217"/>
      <c r="M36" s="217"/>
      <c r="N36" s="217"/>
      <c r="O36" s="217"/>
      <c r="P36" s="217"/>
      <c r="Q36" s="217"/>
      <c r="R36" s="881"/>
      <c r="S36" s="217">
        <f t="shared" si="14"/>
        <v>0</v>
      </c>
      <c r="T36" s="217"/>
      <c r="U36" s="213"/>
    </row>
    <row r="37" spans="1:21" s="214" customFormat="1">
      <c r="A37" s="1845" t="s">
        <v>2534</v>
      </c>
      <c r="B37" s="216">
        <f t="shared" si="11"/>
        <v>707962</v>
      </c>
      <c r="C37" s="217">
        <v>707962</v>
      </c>
      <c r="D37" s="217"/>
      <c r="E37" s="217">
        <f t="shared" si="12"/>
        <v>707962</v>
      </c>
      <c r="F37" s="217"/>
      <c r="G37" s="217"/>
      <c r="H37" s="217"/>
      <c r="I37" s="217"/>
      <c r="J37" s="217"/>
      <c r="K37" s="217"/>
      <c r="L37" s="217"/>
      <c r="M37" s="217"/>
      <c r="N37" s="217"/>
      <c r="O37" s="217"/>
      <c r="P37" s="217"/>
      <c r="Q37" s="217"/>
      <c r="R37" s="881">
        <f t="shared" si="13"/>
        <v>707962</v>
      </c>
      <c r="S37" s="217">
        <f t="shared" si="14"/>
        <v>707962</v>
      </c>
      <c r="T37" s="217"/>
      <c r="U37" s="213"/>
    </row>
    <row r="38" spans="1:21" s="214" customFormat="1" ht="12">
      <c r="A38" s="219" t="s">
        <v>148</v>
      </c>
      <c r="B38" s="216">
        <f t="shared" si="11"/>
        <v>36487028</v>
      </c>
      <c r="C38" s="216">
        <f>SUM(C29:C37)</f>
        <v>36487028</v>
      </c>
      <c r="D38" s="216">
        <f t="shared" ref="D38:Q38" si="15">SUM(D29:D37)</f>
        <v>0</v>
      </c>
      <c r="E38" s="216">
        <f t="shared" si="15"/>
        <v>14449371.333333332</v>
      </c>
      <c r="F38" s="216">
        <f t="shared" si="15"/>
        <v>22037656.666666668</v>
      </c>
      <c r="G38" s="216">
        <f>SUM(G29:G37)</f>
        <v>0</v>
      </c>
      <c r="H38" s="216">
        <f t="shared" si="15"/>
        <v>0</v>
      </c>
      <c r="I38" s="216">
        <f t="shared" si="15"/>
        <v>0</v>
      </c>
      <c r="J38" s="216">
        <f t="shared" si="15"/>
        <v>0</v>
      </c>
      <c r="K38" s="216">
        <f t="shared" si="15"/>
        <v>0</v>
      </c>
      <c r="L38" s="216">
        <f t="shared" si="15"/>
        <v>0</v>
      </c>
      <c r="M38" s="216">
        <f t="shared" si="15"/>
        <v>0</v>
      </c>
      <c r="N38" s="216">
        <f t="shared" si="15"/>
        <v>0</v>
      </c>
      <c r="O38" s="216">
        <f t="shared" si="15"/>
        <v>0</v>
      </c>
      <c r="P38" s="216">
        <f t="shared" si="15"/>
        <v>0</v>
      </c>
      <c r="Q38" s="216">
        <f t="shared" si="15"/>
        <v>0</v>
      </c>
      <c r="R38" s="535">
        <f>SUM(R29:R37)</f>
        <v>36487028</v>
      </c>
      <c r="S38" s="220">
        <f>SUM(S29:S37)</f>
        <v>36487028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940000</v>
      </c>
      <c r="C40" s="217">
        <v>940000</v>
      </c>
      <c r="D40" s="217"/>
      <c r="E40" s="217">
        <f t="shared" ref="E40:E41" si="16">C40</f>
        <v>940000</v>
      </c>
      <c r="F40" s="217"/>
      <c r="G40" s="217"/>
      <c r="H40" s="217"/>
      <c r="I40" s="217"/>
      <c r="J40" s="217"/>
      <c r="K40" s="217"/>
      <c r="L40" s="217"/>
      <c r="M40" s="217"/>
      <c r="N40" s="217"/>
      <c r="O40" s="217"/>
      <c r="P40" s="217"/>
      <c r="Q40" s="217"/>
      <c r="R40" s="881">
        <f>SUM(E40:Q40)</f>
        <v>940000</v>
      </c>
      <c r="S40" s="217">
        <f t="shared" ref="S40:S41" si="17">R40</f>
        <v>940000</v>
      </c>
      <c r="T40" s="217"/>
      <c r="U40" s="213"/>
    </row>
    <row r="41" spans="1:21" s="214" customFormat="1">
      <c r="A41" s="215" t="s">
        <v>151</v>
      </c>
      <c r="B41" s="216">
        <f>SUM(C41+D41)</f>
        <v>0</v>
      </c>
      <c r="C41" s="217"/>
      <c r="D41" s="217"/>
      <c r="E41" s="217">
        <f t="shared" si="16"/>
        <v>0</v>
      </c>
      <c r="F41" s="217"/>
      <c r="G41" s="217"/>
      <c r="H41" s="217"/>
      <c r="I41" s="217"/>
      <c r="J41" s="217"/>
      <c r="K41" s="217"/>
      <c r="L41" s="217"/>
      <c r="M41" s="217"/>
      <c r="N41" s="217"/>
      <c r="O41" s="217"/>
      <c r="P41" s="217"/>
      <c r="Q41" s="217"/>
      <c r="R41" s="881">
        <f>SUM(E41:Q41)</f>
        <v>0</v>
      </c>
      <c r="S41" s="217">
        <f t="shared" si="17"/>
        <v>0</v>
      </c>
      <c r="T41" s="217"/>
      <c r="U41" s="213"/>
    </row>
    <row r="42" spans="1:21" s="214" customFormat="1" ht="12">
      <c r="A42" s="219" t="s">
        <v>152</v>
      </c>
      <c r="B42" s="216">
        <f>SUM(C42:D42)</f>
        <v>940000</v>
      </c>
      <c r="C42" s="216">
        <f>SUM(C39:C41)</f>
        <v>940000</v>
      </c>
      <c r="D42" s="216">
        <f>SUM(D39:D41)</f>
        <v>0</v>
      </c>
      <c r="E42" s="216">
        <f t="shared" ref="E42:T42" si="18">SUM(E40:E41)</f>
        <v>940000</v>
      </c>
      <c r="F42" s="216">
        <f t="shared" si="18"/>
        <v>0</v>
      </c>
      <c r="G42" s="216">
        <f t="shared" si="18"/>
        <v>0</v>
      </c>
      <c r="H42" s="216">
        <f t="shared" si="18"/>
        <v>0</v>
      </c>
      <c r="I42" s="216">
        <f t="shared" si="18"/>
        <v>0</v>
      </c>
      <c r="J42" s="216">
        <f t="shared" si="18"/>
        <v>0</v>
      </c>
      <c r="K42" s="216">
        <f t="shared" si="18"/>
        <v>0</v>
      </c>
      <c r="L42" s="216">
        <f t="shared" si="18"/>
        <v>0</v>
      </c>
      <c r="M42" s="216">
        <f t="shared" si="18"/>
        <v>0</v>
      </c>
      <c r="N42" s="216">
        <f t="shared" si="18"/>
        <v>0</v>
      </c>
      <c r="O42" s="216">
        <f t="shared" si="18"/>
        <v>0</v>
      </c>
      <c r="P42" s="216">
        <f t="shared" si="18"/>
        <v>0</v>
      </c>
      <c r="Q42" s="216">
        <f t="shared" si="18"/>
        <v>0</v>
      </c>
      <c r="R42" s="535">
        <f>SUM(R40:R41)</f>
        <v>940000</v>
      </c>
      <c r="S42" s="220">
        <f t="shared" si="18"/>
        <v>940000</v>
      </c>
      <c r="T42" s="220">
        <f t="shared" si="18"/>
        <v>0</v>
      </c>
      <c r="U42" s="213"/>
    </row>
    <row r="43" spans="1:21" s="214" customFormat="1" ht="12">
      <c r="A43" s="219" t="s">
        <v>153</v>
      </c>
      <c r="B43" s="216">
        <f>SUM(C43:D43)</f>
        <v>500000</v>
      </c>
      <c r="C43" s="217">
        <v>500000</v>
      </c>
      <c r="D43" s="217"/>
      <c r="E43" s="217">
        <f>C43</f>
        <v>500000</v>
      </c>
      <c r="F43" s="217"/>
      <c r="G43" s="217"/>
      <c r="H43" s="217"/>
      <c r="I43" s="217"/>
      <c r="J43" s="217"/>
      <c r="K43" s="217"/>
      <c r="L43" s="217"/>
      <c r="M43" s="217"/>
      <c r="N43" s="217"/>
      <c r="O43" s="217"/>
      <c r="P43" s="217"/>
      <c r="Q43" s="217"/>
      <c r="R43" s="881">
        <f>SUM(E43:Q43)</f>
        <v>500000</v>
      </c>
      <c r="S43" s="217">
        <f>R43</f>
        <v>500000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9">SUM(C45+D45)</f>
        <v>2650665.3333333335</v>
      </c>
      <c r="C45" s="217">
        <f>2650665+(1/3)</f>
        <v>2650665.3333333335</v>
      </c>
      <c r="D45" s="217"/>
      <c r="E45" s="217">
        <f>C45</f>
        <v>2650665.3333333335</v>
      </c>
      <c r="F45" s="217"/>
      <c r="G45" s="217"/>
      <c r="H45" s="217"/>
      <c r="I45" s="217"/>
      <c r="J45" s="217"/>
      <c r="K45" s="217"/>
      <c r="L45" s="217"/>
      <c r="M45" s="217"/>
      <c r="N45" s="217"/>
      <c r="O45" s="217"/>
      <c r="P45" s="217"/>
      <c r="Q45" s="217"/>
      <c r="R45" s="881">
        <f t="shared" ref="R45:R53" si="20">SUM(E45:Q45)</f>
        <v>2650665.3333333335</v>
      </c>
      <c r="S45" s="217">
        <v>1731717</v>
      </c>
      <c r="T45" s="217"/>
      <c r="U45" s="213"/>
    </row>
    <row r="46" spans="1:21" s="214" customFormat="1">
      <c r="A46" s="215" t="s">
        <v>156</v>
      </c>
      <c r="B46" s="216">
        <f t="shared" si="19"/>
        <v>524218</v>
      </c>
      <c r="C46" s="217">
        <v>524218</v>
      </c>
      <c r="D46" s="217"/>
      <c r="E46" s="217">
        <f t="shared" ref="E46:E53" si="21">C46</f>
        <v>524218</v>
      </c>
      <c r="F46" s="217"/>
      <c r="G46" s="217"/>
      <c r="H46" s="217"/>
      <c r="I46" s="217"/>
      <c r="J46" s="217"/>
      <c r="K46" s="217"/>
      <c r="L46" s="217"/>
      <c r="M46" s="217"/>
      <c r="N46" s="217"/>
      <c r="O46" s="217"/>
      <c r="P46" s="217"/>
      <c r="Q46" s="217"/>
      <c r="R46" s="881">
        <f t="shared" si="20"/>
        <v>524218</v>
      </c>
      <c r="S46" s="217">
        <v>449330</v>
      </c>
      <c r="T46" s="217"/>
      <c r="U46" s="213"/>
    </row>
    <row r="47" spans="1:21" s="214" customFormat="1">
      <c r="A47" s="298" t="s">
        <v>157</v>
      </c>
      <c r="B47" s="216">
        <f t="shared" si="19"/>
        <v>0</v>
      </c>
      <c r="C47" s="217"/>
      <c r="D47" s="217"/>
      <c r="E47" s="217">
        <f t="shared" si="21"/>
        <v>0</v>
      </c>
      <c r="F47" s="217"/>
      <c r="G47" s="217"/>
      <c r="H47" s="217"/>
      <c r="I47" s="217"/>
      <c r="J47" s="217"/>
      <c r="K47" s="217"/>
      <c r="L47" s="217"/>
      <c r="M47" s="217"/>
      <c r="N47" s="217"/>
      <c r="O47" s="217"/>
      <c r="P47" s="217"/>
      <c r="Q47" s="217"/>
      <c r="R47" s="881">
        <f t="shared" si="20"/>
        <v>0</v>
      </c>
      <c r="S47" s="217">
        <f t="shared" ref="S47:S52" si="22">R47</f>
        <v>0</v>
      </c>
      <c r="T47" s="217"/>
      <c r="U47" s="213"/>
    </row>
    <row r="48" spans="1:21" s="214" customFormat="1">
      <c r="A48" s="215" t="s">
        <v>158</v>
      </c>
      <c r="B48" s="216">
        <f t="shared" si="19"/>
        <v>0</v>
      </c>
      <c r="C48" s="217"/>
      <c r="D48" s="217"/>
      <c r="E48" s="217">
        <f t="shared" si="21"/>
        <v>0</v>
      </c>
      <c r="F48" s="217"/>
      <c r="G48" s="217"/>
      <c r="H48" s="217"/>
      <c r="I48" s="217"/>
      <c r="J48" s="217"/>
      <c r="K48" s="217"/>
      <c r="L48" s="217"/>
      <c r="M48" s="217"/>
      <c r="N48" s="217"/>
      <c r="O48" s="217"/>
      <c r="P48" s="217"/>
      <c r="Q48" s="217"/>
      <c r="R48" s="881">
        <f t="shared" si="20"/>
        <v>0</v>
      </c>
      <c r="S48" s="217">
        <f t="shared" si="22"/>
        <v>0</v>
      </c>
      <c r="T48" s="217"/>
      <c r="U48" s="213"/>
    </row>
    <row r="49" spans="1:21" s="214" customFormat="1">
      <c r="A49" s="215" t="s">
        <v>60</v>
      </c>
      <c r="B49" s="216">
        <f t="shared" si="19"/>
        <v>0</v>
      </c>
      <c r="C49" s="217"/>
      <c r="D49" s="217"/>
      <c r="E49" s="217">
        <f t="shared" si="21"/>
        <v>0</v>
      </c>
      <c r="F49" s="217"/>
      <c r="G49" s="217"/>
      <c r="H49" s="217"/>
      <c r="I49" s="217"/>
      <c r="J49" s="217"/>
      <c r="K49" s="217"/>
      <c r="L49" s="217"/>
      <c r="M49" s="217"/>
      <c r="N49" s="217"/>
      <c r="O49" s="217"/>
      <c r="P49" s="217"/>
      <c r="Q49" s="217"/>
      <c r="R49" s="881">
        <f t="shared" si="20"/>
        <v>0</v>
      </c>
      <c r="S49" s="217">
        <f t="shared" si="22"/>
        <v>0</v>
      </c>
      <c r="T49" s="217"/>
      <c r="U49" s="213"/>
    </row>
    <row r="50" spans="1:21" s="214" customFormat="1">
      <c r="A50" s="215" t="s">
        <v>161</v>
      </c>
      <c r="B50" s="216">
        <f t="shared" si="19"/>
        <v>50000</v>
      </c>
      <c r="C50" s="217">
        <v>50000</v>
      </c>
      <c r="D50" s="217"/>
      <c r="E50" s="217">
        <f t="shared" si="21"/>
        <v>50000</v>
      </c>
      <c r="F50" s="217"/>
      <c r="G50" s="217"/>
      <c r="H50" s="217"/>
      <c r="I50" s="217"/>
      <c r="J50" s="217"/>
      <c r="K50" s="217"/>
      <c r="L50" s="217"/>
      <c r="M50" s="217"/>
      <c r="N50" s="217"/>
      <c r="O50" s="217"/>
      <c r="P50" s="217"/>
      <c r="Q50" s="217"/>
      <c r="R50" s="881">
        <f t="shared" si="20"/>
        <v>50000</v>
      </c>
      <c r="S50" s="217">
        <v>42857</v>
      </c>
      <c r="T50" s="217"/>
      <c r="U50" s="213"/>
    </row>
    <row r="51" spans="1:21" s="214" customFormat="1">
      <c r="A51" s="441" t="s">
        <v>159</v>
      </c>
      <c r="B51" s="216">
        <f t="shared" si="19"/>
        <v>60000</v>
      </c>
      <c r="C51" s="217">
        <v>60000</v>
      </c>
      <c r="D51" s="217"/>
      <c r="E51" s="217">
        <f t="shared" si="21"/>
        <v>60000</v>
      </c>
      <c r="F51" s="217"/>
      <c r="G51" s="217"/>
      <c r="H51" s="217"/>
      <c r="I51" s="217"/>
      <c r="J51" s="217"/>
      <c r="K51" s="217"/>
      <c r="L51" s="217"/>
      <c r="M51" s="217"/>
      <c r="N51" s="217"/>
      <c r="O51" s="217"/>
      <c r="P51" s="217"/>
      <c r="Q51" s="217"/>
      <c r="R51" s="881">
        <f t="shared" si="20"/>
        <v>60000</v>
      </c>
      <c r="S51" s="217">
        <f t="shared" si="22"/>
        <v>60000</v>
      </c>
      <c r="T51" s="217"/>
      <c r="U51" s="213"/>
    </row>
    <row r="52" spans="1:21" s="214" customFormat="1">
      <c r="A52" s="215" t="s">
        <v>160</v>
      </c>
      <c r="B52" s="216">
        <f t="shared" si="19"/>
        <v>286098</v>
      </c>
      <c r="C52" s="217">
        <v>286098</v>
      </c>
      <c r="D52" s="217"/>
      <c r="E52" s="217">
        <f t="shared" si="21"/>
        <v>286098</v>
      </c>
      <c r="F52" s="217"/>
      <c r="G52" s="217"/>
      <c r="H52" s="217"/>
      <c r="I52" s="217"/>
      <c r="J52" s="217"/>
      <c r="K52" s="217"/>
      <c r="L52" s="217"/>
      <c r="M52" s="217"/>
      <c r="N52" s="217"/>
      <c r="O52" s="217"/>
      <c r="P52" s="217"/>
      <c r="Q52" s="217"/>
      <c r="R52" s="881">
        <f t="shared" si="20"/>
        <v>286098</v>
      </c>
      <c r="S52" s="217">
        <f t="shared" si="22"/>
        <v>286098</v>
      </c>
      <c r="T52" s="217"/>
      <c r="U52" s="213"/>
    </row>
    <row r="53" spans="1:21" s="214" customFormat="1">
      <c r="A53" s="1845" t="s">
        <v>2535</v>
      </c>
      <c r="B53" s="216">
        <f t="shared" si="19"/>
        <v>45000</v>
      </c>
      <c r="C53" s="217">
        <v>45000</v>
      </c>
      <c r="D53" s="217"/>
      <c r="E53" s="217">
        <f t="shared" si="21"/>
        <v>45000</v>
      </c>
      <c r="F53" s="217"/>
      <c r="G53" s="217"/>
      <c r="H53" s="217"/>
      <c r="I53" s="217"/>
      <c r="J53" s="217"/>
      <c r="K53" s="217"/>
      <c r="L53" s="217"/>
      <c r="M53" s="217"/>
      <c r="N53" s="217"/>
      <c r="O53" s="217"/>
      <c r="P53" s="217"/>
      <c r="Q53" s="217"/>
      <c r="R53" s="881">
        <f t="shared" si="20"/>
        <v>45000</v>
      </c>
      <c r="S53" s="217">
        <v>38571</v>
      </c>
      <c r="T53" s="217"/>
      <c r="U53" s="213"/>
    </row>
    <row r="54" spans="1:21" s="224" customFormat="1" ht="12">
      <c r="A54" s="219" t="s">
        <v>162</v>
      </c>
      <c r="B54" s="220">
        <f>SUM(C54:D54)</f>
        <v>3615981.3333333335</v>
      </c>
      <c r="C54" s="220">
        <f t="shared" ref="C54:T54" si="23">SUM(C45:C53)</f>
        <v>3615981.3333333335</v>
      </c>
      <c r="D54" s="220">
        <f t="shared" si="23"/>
        <v>0</v>
      </c>
      <c r="E54" s="220">
        <f t="shared" si="23"/>
        <v>3615981.3333333335</v>
      </c>
      <c r="F54" s="220">
        <f t="shared" si="23"/>
        <v>0</v>
      </c>
      <c r="G54" s="220">
        <f t="shared" si="23"/>
        <v>0</v>
      </c>
      <c r="H54" s="220">
        <f t="shared" si="23"/>
        <v>0</v>
      </c>
      <c r="I54" s="220">
        <f t="shared" si="23"/>
        <v>0</v>
      </c>
      <c r="J54" s="220">
        <f t="shared" si="23"/>
        <v>0</v>
      </c>
      <c r="K54" s="220">
        <f t="shared" si="23"/>
        <v>0</v>
      </c>
      <c r="L54" s="220">
        <f t="shared" si="23"/>
        <v>0</v>
      </c>
      <c r="M54" s="220">
        <f t="shared" si="23"/>
        <v>0</v>
      </c>
      <c r="N54" s="220">
        <f t="shared" si="23"/>
        <v>0</v>
      </c>
      <c r="O54" s="220">
        <f t="shared" si="23"/>
        <v>0</v>
      </c>
      <c r="P54" s="220">
        <f t="shared" si="23"/>
        <v>0</v>
      </c>
      <c r="Q54" s="220">
        <f t="shared" si="23"/>
        <v>0</v>
      </c>
      <c r="R54" s="535">
        <f t="shared" si="23"/>
        <v>3615981.3333333335</v>
      </c>
      <c r="S54" s="220">
        <f t="shared" si="23"/>
        <v>2608573</v>
      </c>
      <c r="T54" s="220">
        <f t="shared" si="23"/>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4">SUM(C56+D56)</f>
        <v>0</v>
      </c>
      <c r="C56" s="217"/>
      <c r="D56" s="217"/>
      <c r="E56" s="217"/>
      <c r="F56" s="217"/>
      <c r="G56" s="217"/>
      <c r="H56" s="217"/>
      <c r="I56" s="217"/>
      <c r="J56" s="217"/>
      <c r="K56" s="217"/>
      <c r="L56" s="217"/>
      <c r="M56" s="217"/>
      <c r="N56" s="217"/>
      <c r="O56" s="217"/>
      <c r="P56" s="217"/>
      <c r="Q56" s="217"/>
      <c r="R56" s="881">
        <f t="shared" ref="R56:R61" si="25">SUM(E56:Q56)</f>
        <v>0</v>
      </c>
      <c r="S56" s="218"/>
      <c r="T56" s="218"/>
      <c r="U56" s="213"/>
    </row>
    <row r="57" spans="1:21" s="304" customFormat="1">
      <c r="A57" s="298" t="s">
        <v>157</v>
      </c>
      <c r="B57" s="305">
        <f t="shared" si="24"/>
        <v>0</v>
      </c>
      <c r="C57" s="302"/>
      <c r="D57" s="302"/>
      <c r="E57" s="302"/>
      <c r="F57" s="302"/>
      <c r="G57" s="302"/>
      <c r="H57" s="302"/>
      <c r="I57" s="302"/>
      <c r="J57" s="302"/>
      <c r="K57" s="302"/>
      <c r="L57" s="302"/>
      <c r="M57" s="302"/>
      <c r="N57" s="302"/>
      <c r="O57" s="302"/>
      <c r="P57" s="302"/>
      <c r="Q57" s="302"/>
      <c r="R57" s="881">
        <f t="shared" si="25"/>
        <v>0</v>
      </c>
      <c r="S57" s="306"/>
      <c r="T57" s="306"/>
      <c r="U57" s="303"/>
    </row>
    <row r="58" spans="1:21" s="214" customFormat="1">
      <c r="A58" s="215" t="s">
        <v>161</v>
      </c>
      <c r="B58" s="216">
        <f t="shared" si="24"/>
        <v>10000</v>
      </c>
      <c r="C58" s="217">
        <v>10000</v>
      </c>
      <c r="D58" s="217"/>
      <c r="E58" s="217"/>
      <c r="F58" s="217">
        <f>C58</f>
        <v>10000</v>
      </c>
      <c r="G58" s="217"/>
      <c r="H58" s="217"/>
      <c r="I58" s="217"/>
      <c r="J58" s="217"/>
      <c r="K58" s="217"/>
      <c r="L58" s="217"/>
      <c r="M58" s="217"/>
      <c r="N58" s="217"/>
      <c r="O58" s="217"/>
      <c r="P58" s="217"/>
      <c r="Q58" s="217"/>
      <c r="R58" s="881">
        <f t="shared" si="25"/>
        <v>10000</v>
      </c>
      <c r="S58" s="218"/>
      <c r="T58" s="218"/>
      <c r="U58" s="213"/>
    </row>
    <row r="59" spans="1:21" s="214" customFormat="1">
      <c r="A59" s="441" t="s">
        <v>159</v>
      </c>
      <c r="B59" s="216">
        <f t="shared" si="24"/>
        <v>0</v>
      </c>
      <c r="C59" s="217"/>
      <c r="D59" s="217"/>
      <c r="E59" s="217"/>
      <c r="F59" s="217"/>
      <c r="G59" s="217"/>
      <c r="H59" s="217"/>
      <c r="I59" s="217"/>
      <c r="J59" s="217"/>
      <c r="K59" s="217"/>
      <c r="L59" s="217"/>
      <c r="M59" s="217"/>
      <c r="N59" s="217"/>
      <c r="O59" s="217"/>
      <c r="P59" s="217"/>
      <c r="Q59" s="217"/>
      <c r="R59" s="881">
        <f t="shared" si="25"/>
        <v>0</v>
      </c>
      <c r="S59" s="218"/>
      <c r="T59" s="218"/>
      <c r="U59" s="213"/>
    </row>
    <row r="60" spans="1:21" s="214" customFormat="1">
      <c r="A60" s="215" t="s">
        <v>160</v>
      </c>
      <c r="B60" s="216">
        <f t="shared" si="24"/>
        <v>0</v>
      </c>
      <c r="C60" s="217"/>
      <c r="D60" s="217"/>
      <c r="E60" s="217"/>
      <c r="F60" s="217"/>
      <c r="G60" s="217"/>
      <c r="H60" s="217"/>
      <c r="I60" s="217"/>
      <c r="J60" s="217"/>
      <c r="K60" s="217"/>
      <c r="L60" s="217"/>
      <c r="M60" s="217"/>
      <c r="N60" s="217"/>
      <c r="O60" s="217"/>
      <c r="P60" s="217"/>
      <c r="Q60" s="217"/>
      <c r="R60" s="881">
        <f t="shared" si="25"/>
        <v>0</v>
      </c>
      <c r="S60" s="218"/>
      <c r="T60" s="218"/>
      <c r="U60" s="213"/>
    </row>
    <row r="61" spans="1:21" s="214" customFormat="1">
      <c r="A61" s="1845" t="s">
        <v>2502</v>
      </c>
      <c r="B61" s="216">
        <f t="shared" si="24"/>
        <v>206582</v>
      </c>
      <c r="C61" s="217">
        <f>196582+10000</f>
        <v>206582</v>
      </c>
      <c r="D61" s="217"/>
      <c r="E61" s="217"/>
      <c r="F61" s="217">
        <f>C61</f>
        <v>206582</v>
      </c>
      <c r="G61" s="217"/>
      <c r="H61" s="217"/>
      <c r="I61" s="217"/>
      <c r="J61" s="217"/>
      <c r="K61" s="217"/>
      <c r="L61" s="217"/>
      <c r="M61" s="217"/>
      <c r="N61" s="217"/>
      <c r="O61" s="217"/>
      <c r="P61" s="217"/>
      <c r="Q61" s="217"/>
      <c r="R61" s="881">
        <f t="shared" si="25"/>
        <v>206582</v>
      </c>
      <c r="S61" s="218"/>
      <c r="T61" s="218"/>
      <c r="U61" s="213"/>
    </row>
    <row r="62" spans="1:21" s="214" customFormat="1" ht="13.65" customHeight="1">
      <c r="A62" s="219" t="s">
        <v>311</v>
      </c>
      <c r="B62" s="216">
        <f>SUM(C62:D62)</f>
        <v>216582</v>
      </c>
      <c r="C62" s="216">
        <f t="shared" ref="C62:R62" si="26">SUM(C56:C61)</f>
        <v>216582</v>
      </c>
      <c r="D62" s="216">
        <f t="shared" si="26"/>
        <v>0</v>
      </c>
      <c r="E62" s="216">
        <f t="shared" si="26"/>
        <v>0</v>
      </c>
      <c r="F62" s="216">
        <f t="shared" si="26"/>
        <v>216582</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35">
        <f t="shared" si="26"/>
        <v>216582</v>
      </c>
      <c r="S62" s="218"/>
      <c r="T62" s="218"/>
      <c r="U62" s="213"/>
    </row>
    <row r="63" spans="1:21" s="214" customFormat="1">
      <c r="A63" s="225" t="s">
        <v>312</v>
      </c>
      <c r="B63" s="216">
        <f t="shared" ref="B63:R63" si="27">SUM(B8+B11+B13+B14+B15+B26+B27+B38+B42+B43+B54+B62)</f>
        <v>46164028.333333336</v>
      </c>
      <c r="C63" s="216">
        <f t="shared" si="27"/>
        <v>46164028.333333336</v>
      </c>
      <c r="D63" s="216">
        <f t="shared" si="27"/>
        <v>0</v>
      </c>
      <c r="E63" s="216">
        <f t="shared" si="27"/>
        <v>19859789.666666664</v>
      </c>
      <c r="F63" s="216">
        <f t="shared" si="27"/>
        <v>26304238.666666668</v>
      </c>
      <c r="G63" s="216">
        <f>SUM(G8+G11+G13+G14+G15+G26+G27+G38+G42+G43+G54+G62)</f>
        <v>0</v>
      </c>
      <c r="H63" s="216">
        <f t="shared" si="27"/>
        <v>0</v>
      </c>
      <c r="I63" s="216">
        <f t="shared" si="27"/>
        <v>0</v>
      </c>
      <c r="J63" s="216">
        <f t="shared" si="27"/>
        <v>0</v>
      </c>
      <c r="K63" s="216">
        <f t="shared" si="27"/>
        <v>0</v>
      </c>
      <c r="L63" s="216">
        <f t="shared" si="27"/>
        <v>0</v>
      </c>
      <c r="M63" s="216">
        <f t="shared" si="27"/>
        <v>0</v>
      </c>
      <c r="N63" s="216">
        <f t="shared" si="27"/>
        <v>0</v>
      </c>
      <c r="O63" s="216">
        <f t="shared" si="27"/>
        <v>0</v>
      </c>
      <c r="P63" s="216">
        <f t="shared" si="27"/>
        <v>0</v>
      </c>
      <c r="Q63" s="216">
        <f t="shared" si="27"/>
        <v>0</v>
      </c>
      <c r="R63" s="535">
        <f t="shared" si="27"/>
        <v>46164028.333333336</v>
      </c>
      <c r="S63" s="216">
        <f>SUM(S10+S13+S14+S15+S26+S27+S38+S42+S43+S54)</f>
        <v>40685601</v>
      </c>
      <c r="T63" s="216">
        <f>SUM(T11+T13+T14+T15+T26+T27+T38+T42+T43+T54)</f>
        <v>0</v>
      </c>
      <c r="U63" s="213"/>
    </row>
    <row r="64" spans="1:21" s="214" customFormat="1" ht="22.8">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332500</v>
      </c>
      <c r="C65" s="217">
        <v>332500</v>
      </c>
      <c r="D65" s="217"/>
      <c r="E65" s="217">
        <f t="shared" ref="E65:E69" si="28">C65</f>
        <v>332500</v>
      </c>
      <c r="F65" s="217"/>
      <c r="G65" s="217"/>
      <c r="H65" s="217"/>
      <c r="I65" s="217"/>
      <c r="J65" s="217"/>
      <c r="K65" s="217"/>
      <c r="L65" s="217"/>
      <c r="M65" s="217"/>
      <c r="N65" s="217"/>
      <c r="O65" s="217"/>
      <c r="P65" s="217"/>
      <c r="Q65" s="217"/>
      <c r="R65" s="881">
        <f>SUM(E65:Q65)</f>
        <v>332500</v>
      </c>
      <c r="S65" s="217">
        <v>225000</v>
      </c>
      <c r="T65" s="217"/>
      <c r="U65" s="213"/>
    </row>
    <row r="66" spans="1:21" s="214" customFormat="1" ht="24" customHeight="1">
      <c r="A66" s="441" t="s">
        <v>2010</v>
      </c>
      <c r="B66" s="216"/>
      <c r="C66" s="217"/>
      <c r="D66" s="217"/>
      <c r="E66" s="217">
        <f t="shared" si="28"/>
        <v>0</v>
      </c>
      <c r="F66" s="217"/>
      <c r="G66" s="217"/>
      <c r="H66" s="217"/>
      <c r="I66" s="217"/>
      <c r="J66" s="217"/>
      <c r="K66" s="217"/>
      <c r="L66" s="217"/>
      <c r="M66" s="217"/>
      <c r="N66" s="217"/>
      <c r="O66" s="217"/>
      <c r="P66" s="217"/>
      <c r="Q66" s="217"/>
      <c r="R66" s="881">
        <f t="shared" ref="R66:R68" si="29">SUM(E66:Q66)</f>
        <v>0</v>
      </c>
      <c r="S66" s="217">
        <f t="shared" ref="S66:S69" si="30">R66</f>
        <v>0</v>
      </c>
      <c r="T66" s="217"/>
      <c r="U66" s="213"/>
    </row>
    <row r="67" spans="1:21" s="214" customFormat="1" ht="24" customHeight="1">
      <c r="A67" s="441" t="s">
        <v>2011</v>
      </c>
      <c r="B67" s="216"/>
      <c r="C67" s="217"/>
      <c r="D67" s="217"/>
      <c r="E67" s="217">
        <f t="shared" si="28"/>
        <v>0</v>
      </c>
      <c r="F67" s="217"/>
      <c r="G67" s="217"/>
      <c r="H67" s="217"/>
      <c r="I67" s="217"/>
      <c r="J67" s="217"/>
      <c r="K67" s="217"/>
      <c r="L67" s="217"/>
      <c r="M67" s="217"/>
      <c r="N67" s="217"/>
      <c r="O67" s="217"/>
      <c r="P67" s="217"/>
      <c r="Q67" s="217"/>
      <c r="R67" s="881">
        <f t="shared" si="29"/>
        <v>0</v>
      </c>
      <c r="S67" s="217">
        <f t="shared" si="30"/>
        <v>0</v>
      </c>
      <c r="T67" s="217"/>
      <c r="U67" s="213"/>
    </row>
    <row r="68" spans="1:21" s="214" customFormat="1" ht="12" customHeight="1">
      <c r="A68" s="441" t="s">
        <v>2017</v>
      </c>
      <c r="B68" s="216"/>
      <c r="C68" s="217"/>
      <c r="D68" s="217"/>
      <c r="E68" s="217">
        <f t="shared" si="28"/>
        <v>0</v>
      </c>
      <c r="F68" s="217"/>
      <c r="G68" s="217"/>
      <c r="H68" s="217"/>
      <c r="I68" s="217"/>
      <c r="J68" s="217"/>
      <c r="K68" s="217"/>
      <c r="L68" s="217"/>
      <c r="M68" s="217"/>
      <c r="N68" s="217"/>
      <c r="O68" s="217"/>
      <c r="P68" s="217"/>
      <c r="Q68" s="217"/>
      <c r="R68" s="881">
        <f t="shared" si="29"/>
        <v>0</v>
      </c>
      <c r="S68" s="217">
        <f t="shared" si="30"/>
        <v>0</v>
      </c>
      <c r="T68" s="217"/>
      <c r="U68" s="213"/>
    </row>
    <row r="69" spans="1:21" s="214" customFormat="1">
      <c r="A69" s="222" t="s">
        <v>35</v>
      </c>
      <c r="B69" s="216">
        <f>SUM(C69+D69)</f>
        <v>0</v>
      </c>
      <c r="C69" s="217"/>
      <c r="D69" s="217"/>
      <c r="E69" s="217">
        <f t="shared" si="28"/>
        <v>0</v>
      </c>
      <c r="F69" s="217"/>
      <c r="G69" s="217"/>
      <c r="H69" s="217"/>
      <c r="I69" s="217"/>
      <c r="J69" s="217"/>
      <c r="K69" s="217"/>
      <c r="L69" s="217"/>
      <c r="M69" s="217"/>
      <c r="N69" s="217"/>
      <c r="O69" s="217"/>
      <c r="P69" s="217"/>
      <c r="Q69" s="217"/>
      <c r="R69" s="881">
        <f>SUM(E69:Q69)</f>
        <v>0</v>
      </c>
      <c r="S69" s="217">
        <f t="shared" si="30"/>
        <v>0</v>
      </c>
      <c r="T69" s="217"/>
      <c r="U69" s="213"/>
    </row>
    <row r="70" spans="1:21" s="214" customFormat="1" ht="12">
      <c r="A70" s="219" t="s">
        <v>2014</v>
      </c>
      <c r="B70" s="216">
        <f>SUM(C70:D70)</f>
        <v>332500</v>
      </c>
      <c r="C70" s="216">
        <f>SUM(C65:C69)</f>
        <v>332500</v>
      </c>
      <c r="D70" s="216">
        <f>SUM(D65:D69)</f>
        <v>0</v>
      </c>
      <c r="E70" s="216">
        <f t="shared" ref="E70:T70" si="31">SUM(E65:E69)</f>
        <v>332500</v>
      </c>
      <c r="F70" s="216">
        <f t="shared" si="31"/>
        <v>0</v>
      </c>
      <c r="G70" s="216">
        <f t="shared" si="31"/>
        <v>0</v>
      </c>
      <c r="H70" s="216">
        <f t="shared" si="31"/>
        <v>0</v>
      </c>
      <c r="I70" s="216">
        <f t="shared" si="31"/>
        <v>0</v>
      </c>
      <c r="J70" s="216">
        <f t="shared" si="31"/>
        <v>0</v>
      </c>
      <c r="K70" s="216">
        <f t="shared" si="31"/>
        <v>0</v>
      </c>
      <c r="L70" s="216">
        <f t="shared" si="31"/>
        <v>0</v>
      </c>
      <c r="M70" s="216">
        <f t="shared" si="31"/>
        <v>0</v>
      </c>
      <c r="N70" s="216">
        <f t="shared" si="31"/>
        <v>0</v>
      </c>
      <c r="O70" s="216">
        <f t="shared" si="31"/>
        <v>0</v>
      </c>
      <c r="P70" s="216">
        <f t="shared" si="31"/>
        <v>0</v>
      </c>
      <c r="Q70" s="216">
        <f t="shared" si="31"/>
        <v>0</v>
      </c>
      <c r="R70" s="535">
        <f t="shared" si="31"/>
        <v>332500</v>
      </c>
      <c r="S70" s="220">
        <f t="shared" si="31"/>
        <v>225000</v>
      </c>
      <c r="T70" s="220">
        <f t="shared" si="31"/>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f t="shared" ref="E72:E76" si="32">C72</f>
        <v>0</v>
      </c>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f t="shared" si="32"/>
        <v>0</v>
      </c>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f t="shared" si="32"/>
        <v>0</v>
      </c>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717672</v>
      </c>
      <c r="C75" s="217">
        <v>717672</v>
      </c>
      <c r="D75" s="217"/>
      <c r="E75" s="217">
        <f t="shared" si="32"/>
        <v>717672</v>
      </c>
      <c r="F75" s="217"/>
      <c r="G75" s="217"/>
      <c r="H75" s="217"/>
      <c r="I75" s="217"/>
      <c r="J75" s="217"/>
      <c r="K75" s="217"/>
      <c r="L75" s="217"/>
      <c r="M75" s="217"/>
      <c r="N75" s="217"/>
      <c r="O75" s="217"/>
      <c r="P75" s="217"/>
      <c r="Q75" s="217"/>
      <c r="R75" s="881">
        <f>SUM(E75:Q75)</f>
        <v>717672</v>
      </c>
      <c r="S75" s="218"/>
      <c r="T75" s="218"/>
      <c r="U75" s="213"/>
    </row>
    <row r="76" spans="1:21" s="214" customFormat="1">
      <c r="A76" s="1845" t="s">
        <v>2592</v>
      </c>
      <c r="B76" s="216">
        <f>SUM(C76+D76)</f>
        <v>33500</v>
      </c>
      <c r="C76" s="217">
        <v>33500</v>
      </c>
      <c r="D76" s="217"/>
      <c r="E76" s="217">
        <f t="shared" si="32"/>
        <v>33500</v>
      </c>
      <c r="F76" s="217"/>
      <c r="G76" s="217"/>
      <c r="H76" s="217"/>
      <c r="I76" s="217"/>
      <c r="J76" s="217"/>
      <c r="K76" s="217"/>
      <c r="L76" s="217"/>
      <c r="M76" s="217"/>
      <c r="N76" s="217"/>
      <c r="O76" s="217"/>
      <c r="P76" s="217"/>
      <c r="Q76" s="217"/>
      <c r="R76" s="881">
        <f>SUM(E76:Q76)</f>
        <v>33500</v>
      </c>
      <c r="S76" s="218"/>
      <c r="T76" s="218"/>
      <c r="U76" s="213"/>
    </row>
    <row r="77" spans="1:21" s="214" customFormat="1" ht="12">
      <c r="A77" s="219" t="s">
        <v>642</v>
      </c>
      <c r="B77" s="216">
        <f>SUM(C77:D77)</f>
        <v>751172</v>
      </c>
      <c r="C77" s="216">
        <f>SUM(C72:C76)</f>
        <v>751172</v>
      </c>
      <c r="D77" s="216">
        <f>SUM(D72:D76)</f>
        <v>0</v>
      </c>
      <c r="E77" s="216">
        <f t="shared" ref="E77:Q77" si="33">SUM(E72:E76)</f>
        <v>751172</v>
      </c>
      <c r="F77" s="216">
        <f t="shared" si="33"/>
        <v>0</v>
      </c>
      <c r="G77" s="216">
        <f t="shared" si="33"/>
        <v>0</v>
      </c>
      <c r="H77" s="216">
        <f t="shared" si="33"/>
        <v>0</v>
      </c>
      <c r="I77" s="216">
        <f t="shared" si="33"/>
        <v>0</v>
      </c>
      <c r="J77" s="216">
        <f t="shared" si="33"/>
        <v>0</v>
      </c>
      <c r="K77" s="216">
        <f t="shared" si="33"/>
        <v>0</v>
      </c>
      <c r="L77" s="216">
        <f t="shared" si="33"/>
        <v>0</v>
      </c>
      <c r="M77" s="216">
        <f t="shared" si="33"/>
        <v>0</v>
      </c>
      <c r="N77" s="216">
        <f t="shared" si="33"/>
        <v>0</v>
      </c>
      <c r="O77" s="216">
        <f t="shared" si="33"/>
        <v>0</v>
      </c>
      <c r="P77" s="216">
        <f t="shared" si="33"/>
        <v>0</v>
      </c>
      <c r="Q77" s="216">
        <f t="shared" si="33"/>
        <v>0</v>
      </c>
      <c r="R77" s="535">
        <f>SUM(R72:R76)</f>
        <v>751172</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1831851</v>
      </c>
      <c r="C79" s="217">
        <v>1831851</v>
      </c>
      <c r="D79" s="217"/>
      <c r="E79" s="217">
        <f t="shared" ref="E79:E80" si="34">C79</f>
        <v>1831851</v>
      </c>
      <c r="F79" s="217"/>
      <c r="G79" s="217"/>
      <c r="H79" s="217"/>
      <c r="I79" s="217"/>
      <c r="J79" s="217"/>
      <c r="K79" s="217"/>
      <c r="L79" s="217"/>
      <c r="M79" s="217"/>
      <c r="N79" s="217"/>
      <c r="O79" s="217"/>
      <c r="P79" s="217"/>
      <c r="Q79" s="217"/>
      <c r="R79" s="881">
        <f>SUM(E79:Q79)</f>
        <v>1831851</v>
      </c>
      <c r="S79" s="217">
        <f t="shared" ref="S79:S80" si="35">R79</f>
        <v>1831851</v>
      </c>
      <c r="T79" s="217"/>
      <c r="U79" s="213"/>
    </row>
    <row r="80" spans="1:21" s="214" customFormat="1">
      <c r="A80" s="441" t="s">
        <v>61</v>
      </c>
      <c r="B80" s="216">
        <f>SUM(C80:D80)</f>
        <v>572122</v>
      </c>
      <c r="C80" s="217">
        <v>572122</v>
      </c>
      <c r="D80" s="217"/>
      <c r="E80" s="217">
        <f t="shared" si="34"/>
        <v>572122</v>
      </c>
      <c r="F80" s="217"/>
      <c r="G80" s="217"/>
      <c r="H80" s="217"/>
      <c r="I80" s="217"/>
      <c r="J80" s="217"/>
      <c r="K80" s="217"/>
      <c r="L80" s="217"/>
      <c r="M80" s="217"/>
      <c r="N80" s="217"/>
      <c r="O80" s="217"/>
      <c r="P80" s="217"/>
      <c r="Q80" s="217"/>
      <c r="R80" s="881">
        <f>SUM(E80:Q80)</f>
        <v>572122</v>
      </c>
      <c r="S80" s="217">
        <f t="shared" si="35"/>
        <v>572122</v>
      </c>
      <c r="T80" s="217"/>
      <c r="U80" s="213"/>
    </row>
    <row r="81" spans="1:21" s="214" customFormat="1" ht="12">
      <c r="A81" s="219" t="s">
        <v>1426</v>
      </c>
      <c r="B81" s="216">
        <f>SUM(C81:D81)</f>
        <v>2403973</v>
      </c>
      <c r="C81" s="861">
        <f>SUM(C79:C80)</f>
        <v>2403973</v>
      </c>
      <c r="D81" s="861">
        <f t="shared" ref="D81:T81" si="36">SUM(D79:D80)</f>
        <v>0</v>
      </c>
      <c r="E81" s="861">
        <f t="shared" si="36"/>
        <v>2403973</v>
      </c>
      <c r="F81" s="861">
        <f t="shared" si="36"/>
        <v>0</v>
      </c>
      <c r="G81" s="861">
        <f t="shared" si="36"/>
        <v>0</v>
      </c>
      <c r="H81" s="861">
        <f t="shared" si="36"/>
        <v>0</v>
      </c>
      <c r="I81" s="861">
        <f t="shared" si="36"/>
        <v>0</v>
      </c>
      <c r="J81" s="861">
        <f t="shared" si="36"/>
        <v>0</v>
      </c>
      <c r="K81" s="861">
        <f t="shared" si="36"/>
        <v>0</v>
      </c>
      <c r="L81" s="861">
        <f t="shared" si="36"/>
        <v>0</v>
      </c>
      <c r="M81" s="861">
        <f t="shared" si="36"/>
        <v>0</v>
      </c>
      <c r="N81" s="861">
        <f t="shared" si="36"/>
        <v>0</v>
      </c>
      <c r="O81" s="861">
        <f t="shared" si="36"/>
        <v>0</v>
      </c>
      <c r="P81" s="861">
        <f t="shared" si="36"/>
        <v>0</v>
      </c>
      <c r="Q81" s="861">
        <f t="shared" si="36"/>
        <v>0</v>
      </c>
      <c r="R81" s="861">
        <f t="shared" si="36"/>
        <v>2403973</v>
      </c>
      <c r="S81" s="861">
        <f t="shared" si="36"/>
        <v>2403973</v>
      </c>
      <c r="T81" s="861">
        <f t="shared" si="36"/>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827</v>
      </c>
      <c r="B83" s="216">
        <f t="shared" ref="B83:B95" si="37">SUM(C83+D83)</f>
        <v>86396</v>
      </c>
      <c r="C83" s="217">
        <v>86396</v>
      </c>
      <c r="D83" s="217"/>
      <c r="E83" s="217">
        <f t="shared" ref="E83:E93" si="38">C83</f>
        <v>86396</v>
      </c>
      <c r="F83" s="217"/>
      <c r="G83" s="217"/>
      <c r="H83" s="217"/>
      <c r="I83" s="217"/>
      <c r="J83" s="217"/>
      <c r="K83" s="217"/>
      <c r="L83" s="217"/>
      <c r="M83" s="217"/>
      <c r="N83" s="217"/>
      <c r="O83" s="217"/>
      <c r="P83" s="217"/>
      <c r="Q83" s="217"/>
      <c r="R83" s="881">
        <f t="shared" ref="R83:R95" si="39">SUM(E83:Q83)</f>
        <v>86396</v>
      </c>
      <c r="S83" s="218"/>
      <c r="T83" s="218"/>
      <c r="U83" s="213"/>
    </row>
    <row r="84" spans="1:21" s="214" customFormat="1">
      <c r="A84" s="215" t="s">
        <v>828</v>
      </c>
      <c r="B84" s="216">
        <f t="shared" si="37"/>
        <v>45000</v>
      </c>
      <c r="C84" s="217">
        <v>45000</v>
      </c>
      <c r="D84" s="217"/>
      <c r="E84" s="217">
        <f t="shared" si="38"/>
        <v>45000</v>
      </c>
      <c r="F84" s="217"/>
      <c r="G84" s="217"/>
      <c r="H84" s="217"/>
      <c r="I84" s="217"/>
      <c r="J84" s="217"/>
      <c r="K84" s="217"/>
      <c r="L84" s="217"/>
      <c r="M84" s="217"/>
      <c r="N84" s="217"/>
      <c r="O84" s="217"/>
      <c r="P84" s="217"/>
      <c r="Q84" s="217"/>
      <c r="R84" s="881">
        <f t="shared" si="39"/>
        <v>45000</v>
      </c>
      <c r="S84" s="217">
        <f t="shared" ref="S84:S87" si="40">R84</f>
        <v>45000</v>
      </c>
      <c r="T84" s="217"/>
      <c r="U84" s="213"/>
    </row>
    <row r="85" spans="1:21" s="214" customFormat="1">
      <c r="A85" s="215" t="s">
        <v>829</v>
      </c>
      <c r="B85" s="216">
        <f t="shared" si="37"/>
        <v>5746512</v>
      </c>
      <c r="C85" s="217">
        <v>5746512</v>
      </c>
      <c r="D85" s="217"/>
      <c r="E85" s="217">
        <f t="shared" si="38"/>
        <v>5746512</v>
      </c>
      <c r="F85" s="217"/>
      <c r="G85" s="217"/>
      <c r="H85" s="217"/>
      <c r="I85" s="217"/>
      <c r="J85" s="217"/>
      <c r="K85" s="217"/>
      <c r="L85" s="217"/>
      <c r="M85" s="217"/>
      <c r="N85" s="217"/>
      <c r="O85" s="217"/>
      <c r="P85" s="217"/>
      <c r="Q85" s="217"/>
      <c r="R85" s="881">
        <f t="shared" si="39"/>
        <v>5746512</v>
      </c>
      <c r="S85" s="217">
        <f t="shared" si="40"/>
        <v>5746512</v>
      </c>
      <c r="T85" s="217"/>
      <c r="U85" s="213"/>
    </row>
    <row r="86" spans="1:21" s="214" customFormat="1">
      <c r="A86" s="215" t="s">
        <v>830</v>
      </c>
      <c r="B86" s="216">
        <f t="shared" si="37"/>
        <v>335000</v>
      </c>
      <c r="C86" s="217">
        <v>335000</v>
      </c>
      <c r="D86" s="217"/>
      <c r="E86" s="217">
        <f t="shared" si="38"/>
        <v>335000</v>
      </c>
      <c r="F86" s="217"/>
      <c r="G86" s="217"/>
      <c r="H86" s="217"/>
      <c r="I86" s="217"/>
      <c r="J86" s="217"/>
      <c r="K86" s="217"/>
      <c r="L86" s="217"/>
      <c r="M86" s="217"/>
      <c r="N86" s="217"/>
      <c r="O86" s="217"/>
      <c r="P86" s="217"/>
      <c r="Q86" s="217"/>
      <c r="R86" s="881">
        <f t="shared" si="39"/>
        <v>335000</v>
      </c>
      <c r="S86" s="217">
        <f t="shared" si="40"/>
        <v>335000</v>
      </c>
      <c r="T86" s="217"/>
      <c r="U86" s="213"/>
    </row>
    <row r="87" spans="1:21" s="214" customFormat="1">
      <c r="A87" s="215" t="s">
        <v>831</v>
      </c>
      <c r="B87" s="216">
        <f t="shared" si="37"/>
        <v>0</v>
      </c>
      <c r="C87" s="217"/>
      <c r="D87" s="217"/>
      <c r="E87" s="217">
        <f t="shared" si="38"/>
        <v>0</v>
      </c>
      <c r="F87" s="217"/>
      <c r="G87" s="217"/>
      <c r="H87" s="217"/>
      <c r="I87" s="217"/>
      <c r="J87" s="217"/>
      <c r="K87" s="217"/>
      <c r="L87" s="217"/>
      <c r="M87" s="217"/>
      <c r="N87" s="217"/>
      <c r="O87" s="217"/>
      <c r="P87" s="217"/>
      <c r="Q87" s="217"/>
      <c r="R87" s="881">
        <f t="shared" si="39"/>
        <v>0</v>
      </c>
      <c r="S87" s="217">
        <f t="shared" si="40"/>
        <v>0</v>
      </c>
      <c r="T87" s="217"/>
      <c r="U87" s="213"/>
    </row>
    <row r="88" spans="1:21" s="214" customFormat="1">
      <c r="A88" s="215" t="s">
        <v>832</v>
      </c>
      <c r="B88" s="216">
        <f t="shared" si="37"/>
        <v>38000</v>
      </c>
      <c r="C88" s="217">
        <v>38000</v>
      </c>
      <c r="D88" s="217"/>
      <c r="E88" s="217">
        <f t="shared" si="38"/>
        <v>38000</v>
      </c>
      <c r="F88" s="217"/>
      <c r="G88" s="217"/>
      <c r="H88" s="217"/>
      <c r="I88" s="217"/>
      <c r="J88" s="217"/>
      <c r="K88" s="217"/>
      <c r="L88" s="217"/>
      <c r="M88" s="217"/>
      <c r="N88" s="217"/>
      <c r="O88" s="217"/>
      <c r="P88" s="217"/>
      <c r="Q88" s="217"/>
      <c r="R88" s="881">
        <f t="shared" si="39"/>
        <v>38000</v>
      </c>
      <c r="S88" s="218"/>
      <c r="T88" s="218"/>
      <c r="U88" s="213"/>
    </row>
    <row r="89" spans="1:21" s="214" customFormat="1">
      <c r="A89" s="215" t="s">
        <v>833</v>
      </c>
      <c r="B89" s="216">
        <f t="shared" si="37"/>
        <v>25000</v>
      </c>
      <c r="C89" s="217">
        <v>25000</v>
      </c>
      <c r="D89" s="217"/>
      <c r="E89" s="217">
        <f t="shared" si="38"/>
        <v>25000</v>
      </c>
      <c r="F89" s="217"/>
      <c r="G89" s="217"/>
      <c r="H89" s="217"/>
      <c r="I89" s="217"/>
      <c r="J89" s="217"/>
      <c r="K89" s="217"/>
      <c r="L89" s="217"/>
      <c r="M89" s="217"/>
      <c r="N89" s="217"/>
      <c r="O89" s="217"/>
      <c r="P89" s="217"/>
      <c r="Q89" s="217"/>
      <c r="R89" s="881">
        <f t="shared" si="39"/>
        <v>25000</v>
      </c>
      <c r="S89" s="217">
        <f t="shared" ref="S89:S95" si="41">R89</f>
        <v>25000</v>
      </c>
      <c r="T89" s="217"/>
      <c r="U89" s="213"/>
    </row>
    <row r="90" spans="1:21" s="214" customFormat="1">
      <c r="A90" s="215" t="s">
        <v>834</v>
      </c>
      <c r="B90" s="216">
        <f t="shared" si="37"/>
        <v>20000</v>
      </c>
      <c r="C90" s="217">
        <v>20000</v>
      </c>
      <c r="D90" s="217"/>
      <c r="E90" s="217">
        <f t="shared" si="38"/>
        <v>20000</v>
      </c>
      <c r="F90" s="217"/>
      <c r="G90" s="217"/>
      <c r="H90" s="217"/>
      <c r="I90" s="217"/>
      <c r="J90" s="217"/>
      <c r="K90" s="217"/>
      <c r="L90" s="217"/>
      <c r="M90" s="217"/>
      <c r="N90" s="217"/>
      <c r="O90" s="217"/>
      <c r="P90" s="217"/>
      <c r="Q90" s="217"/>
      <c r="R90" s="881">
        <f t="shared" si="39"/>
        <v>20000</v>
      </c>
      <c r="S90" s="217">
        <f t="shared" si="41"/>
        <v>20000</v>
      </c>
      <c r="T90" s="217"/>
      <c r="U90" s="213"/>
    </row>
    <row r="91" spans="1:21" s="214" customFormat="1">
      <c r="A91" s="1828" t="s">
        <v>392</v>
      </c>
      <c r="B91" s="216">
        <f t="shared" si="37"/>
        <v>132500</v>
      </c>
      <c r="C91" s="217">
        <f>80000+52500</f>
        <v>132500</v>
      </c>
      <c r="D91" s="217"/>
      <c r="E91" s="217">
        <f t="shared" si="38"/>
        <v>132500</v>
      </c>
      <c r="F91" s="217"/>
      <c r="G91" s="217"/>
      <c r="H91" s="217"/>
      <c r="I91" s="217"/>
      <c r="J91" s="217"/>
      <c r="K91" s="217"/>
      <c r="L91" s="217"/>
      <c r="M91" s="217"/>
      <c r="N91" s="217"/>
      <c r="O91" s="217"/>
      <c r="P91" s="217"/>
      <c r="Q91" s="217"/>
      <c r="R91" s="881">
        <f t="shared" si="39"/>
        <v>132500</v>
      </c>
      <c r="S91" s="217">
        <f t="shared" si="41"/>
        <v>132500</v>
      </c>
      <c r="T91" s="217"/>
      <c r="U91" s="213"/>
    </row>
    <row r="92" spans="1:21" s="214" customFormat="1">
      <c r="A92" s="1827" t="s">
        <v>1428</v>
      </c>
      <c r="B92" s="216">
        <f t="shared" si="37"/>
        <v>15000</v>
      </c>
      <c r="C92" s="217">
        <v>15000</v>
      </c>
      <c r="D92" s="217"/>
      <c r="E92" s="217">
        <f t="shared" si="38"/>
        <v>15000</v>
      </c>
      <c r="F92" s="217"/>
      <c r="G92" s="217"/>
      <c r="H92" s="217"/>
      <c r="I92" s="217"/>
      <c r="J92" s="217"/>
      <c r="K92" s="217"/>
      <c r="L92" s="217"/>
      <c r="M92" s="217"/>
      <c r="N92" s="217"/>
      <c r="O92" s="217"/>
      <c r="P92" s="217"/>
      <c r="Q92" s="217"/>
      <c r="R92" s="881">
        <f t="shared" si="39"/>
        <v>15000</v>
      </c>
      <c r="S92" s="217">
        <f t="shared" si="41"/>
        <v>15000</v>
      </c>
      <c r="T92" s="217"/>
      <c r="U92" s="213"/>
    </row>
    <row r="93" spans="1:21" s="214" customFormat="1" ht="22.8">
      <c r="A93" s="1845" t="s">
        <v>2589</v>
      </c>
      <c r="B93" s="216">
        <f t="shared" si="37"/>
        <v>245000</v>
      </c>
      <c r="C93" s="217">
        <f>45000+200000</f>
        <v>245000</v>
      </c>
      <c r="D93" s="217"/>
      <c r="E93" s="217">
        <f t="shared" si="38"/>
        <v>245000</v>
      </c>
      <c r="F93" s="217"/>
      <c r="G93" s="217"/>
      <c r="H93" s="217"/>
      <c r="I93" s="217"/>
      <c r="J93" s="217"/>
      <c r="K93" s="217"/>
      <c r="L93" s="217"/>
      <c r="M93" s="217"/>
      <c r="N93" s="217"/>
      <c r="O93" s="217"/>
      <c r="P93" s="217"/>
      <c r="Q93" s="217"/>
      <c r="R93" s="881">
        <f t="shared" si="39"/>
        <v>245000</v>
      </c>
      <c r="S93" s="217">
        <f t="shared" si="41"/>
        <v>245000</v>
      </c>
      <c r="T93" s="217"/>
      <c r="U93" s="213"/>
    </row>
    <row r="94" spans="1:21" s="214" customFormat="1">
      <c r="A94" s="1845" t="s">
        <v>2590</v>
      </c>
      <c r="B94" s="216">
        <f t="shared" si="37"/>
        <v>50002</v>
      </c>
      <c r="C94" s="1706">
        <f>50002</f>
        <v>50002</v>
      </c>
      <c r="D94" s="217"/>
      <c r="E94" s="217">
        <f>C94</f>
        <v>50002</v>
      </c>
      <c r="F94" s="217"/>
      <c r="G94" s="217"/>
      <c r="H94" s="217"/>
      <c r="I94" s="217"/>
      <c r="J94" s="217"/>
      <c r="K94" s="217"/>
      <c r="L94" s="217"/>
      <c r="M94" s="217"/>
      <c r="N94" s="217"/>
      <c r="O94" s="217"/>
      <c r="P94" s="217"/>
      <c r="Q94" s="217"/>
      <c r="R94" s="881">
        <f t="shared" si="39"/>
        <v>50002</v>
      </c>
      <c r="S94" s="217">
        <f t="shared" si="41"/>
        <v>50002</v>
      </c>
      <c r="T94" s="217"/>
      <c r="U94" s="213"/>
    </row>
    <row r="95" spans="1:21" s="214" customFormat="1">
      <c r="A95" s="1845" t="s">
        <v>2536</v>
      </c>
      <c r="B95" s="216">
        <f t="shared" si="37"/>
        <v>15000</v>
      </c>
      <c r="C95" s="217">
        <v>15000</v>
      </c>
      <c r="D95" s="217"/>
      <c r="E95" s="217">
        <f>C95</f>
        <v>15000</v>
      </c>
      <c r="F95" s="217"/>
      <c r="G95" s="217"/>
      <c r="H95" s="217"/>
      <c r="I95" s="217"/>
      <c r="J95" s="217"/>
      <c r="K95" s="217"/>
      <c r="L95" s="217"/>
      <c r="M95" s="217"/>
      <c r="N95" s="217"/>
      <c r="O95" s="217"/>
      <c r="P95" s="217"/>
      <c r="Q95" s="217"/>
      <c r="R95" s="881">
        <f t="shared" si="39"/>
        <v>15000</v>
      </c>
      <c r="S95" s="217">
        <f t="shared" si="41"/>
        <v>15000</v>
      </c>
      <c r="T95" s="217"/>
      <c r="U95" s="213"/>
    </row>
    <row r="96" spans="1:21" s="214" customFormat="1" ht="12">
      <c r="A96" s="219" t="s">
        <v>835</v>
      </c>
      <c r="B96" s="216">
        <f>SUM(C96:D96)</f>
        <v>6753410</v>
      </c>
      <c r="C96" s="216">
        <f t="shared" ref="C96:R96" si="42">SUM(C83:C95)</f>
        <v>6753410</v>
      </c>
      <c r="D96" s="216">
        <f t="shared" si="42"/>
        <v>0</v>
      </c>
      <c r="E96" s="216">
        <f t="shared" si="42"/>
        <v>6753410</v>
      </c>
      <c r="F96" s="216">
        <f t="shared" si="42"/>
        <v>0</v>
      </c>
      <c r="G96" s="216">
        <f t="shared" si="42"/>
        <v>0</v>
      </c>
      <c r="H96" s="216">
        <f t="shared" si="42"/>
        <v>0</v>
      </c>
      <c r="I96" s="216">
        <f t="shared" si="42"/>
        <v>0</v>
      </c>
      <c r="J96" s="216">
        <f t="shared" si="42"/>
        <v>0</v>
      </c>
      <c r="K96" s="216">
        <f t="shared" si="42"/>
        <v>0</v>
      </c>
      <c r="L96" s="216">
        <f t="shared" si="42"/>
        <v>0</v>
      </c>
      <c r="M96" s="216">
        <f t="shared" si="42"/>
        <v>0</v>
      </c>
      <c r="N96" s="216">
        <f t="shared" si="42"/>
        <v>0</v>
      </c>
      <c r="O96" s="216">
        <f t="shared" si="42"/>
        <v>0</v>
      </c>
      <c r="P96" s="216">
        <f t="shared" si="42"/>
        <v>0</v>
      </c>
      <c r="Q96" s="216">
        <f t="shared" si="42"/>
        <v>0</v>
      </c>
      <c r="R96" s="535">
        <f t="shared" si="42"/>
        <v>6753410</v>
      </c>
      <c r="S96" s="220">
        <f>SUM(S84:S87,S89:S95)</f>
        <v>6629014</v>
      </c>
      <c r="T96" s="216">
        <f>SUM(T84:T87,T89:T95)</f>
        <v>0</v>
      </c>
      <c r="U96" s="213"/>
    </row>
    <row r="97" spans="1:21" s="214" customFormat="1" ht="12">
      <c r="A97" s="219" t="s">
        <v>836</v>
      </c>
      <c r="B97" s="216">
        <f>SUM(C97:D97)</f>
        <v>56405083.333333336</v>
      </c>
      <c r="C97" s="216">
        <f t="shared" ref="C97:R97" si="43">SUM(C63+C70+C77+C81+C96)</f>
        <v>56405083.333333336</v>
      </c>
      <c r="D97" s="216">
        <f t="shared" si="43"/>
        <v>0</v>
      </c>
      <c r="E97" s="216">
        <f t="shared" si="43"/>
        <v>30100844.666666664</v>
      </c>
      <c r="F97" s="216">
        <f t="shared" si="43"/>
        <v>26304238.666666668</v>
      </c>
      <c r="G97" s="216">
        <f t="shared" si="43"/>
        <v>0</v>
      </c>
      <c r="H97" s="216">
        <f t="shared" si="43"/>
        <v>0</v>
      </c>
      <c r="I97" s="216">
        <f t="shared" si="43"/>
        <v>0</v>
      </c>
      <c r="J97" s="216">
        <f t="shared" si="43"/>
        <v>0</v>
      </c>
      <c r="K97" s="216">
        <f t="shared" si="43"/>
        <v>0</v>
      </c>
      <c r="L97" s="216">
        <f t="shared" si="43"/>
        <v>0</v>
      </c>
      <c r="M97" s="216">
        <f t="shared" si="43"/>
        <v>0</v>
      </c>
      <c r="N97" s="216">
        <f t="shared" si="43"/>
        <v>0</v>
      </c>
      <c r="O97" s="216">
        <f t="shared" si="43"/>
        <v>0</v>
      </c>
      <c r="P97" s="216">
        <f t="shared" si="43"/>
        <v>0</v>
      </c>
      <c r="Q97" s="216">
        <f t="shared" si="43"/>
        <v>0</v>
      </c>
      <c r="R97" s="216">
        <f t="shared" si="43"/>
        <v>56405083.333333336</v>
      </c>
      <c r="S97" s="216">
        <f>SUM(S63+S70+S81+S96)</f>
        <v>49943588</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7491538</v>
      </c>
      <c r="C99" s="1706">
        <v>7491538</v>
      </c>
      <c r="D99" s="1706"/>
      <c r="E99" s="1706">
        <f>C99-G99</f>
        <v>2500000.333333333</v>
      </c>
      <c r="F99" s="217"/>
      <c r="G99" s="217">
        <f>Application!AO638</f>
        <v>4991537.666666667</v>
      </c>
      <c r="H99" s="217"/>
      <c r="I99" s="217"/>
      <c r="J99" s="217"/>
      <c r="K99" s="217"/>
      <c r="L99" s="217"/>
      <c r="M99" s="217"/>
      <c r="N99" s="217"/>
      <c r="O99" s="217"/>
      <c r="P99" s="217"/>
      <c r="Q99" s="217"/>
      <c r="R99" s="881">
        <f t="shared" ref="R99:R103" si="44">SUM(E99:Q99)</f>
        <v>7491538</v>
      </c>
      <c r="S99" s="217">
        <f t="shared" ref="S99:S103" si="45">R99</f>
        <v>7491538</v>
      </c>
      <c r="T99" s="217"/>
      <c r="U99" s="213"/>
    </row>
    <row r="100" spans="1:21" s="214" customFormat="1">
      <c r="A100" s="441" t="s">
        <v>2015</v>
      </c>
      <c r="B100" s="216">
        <f t="shared" ref="B100:B103" si="46">SUM(C100+D100)</f>
        <v>0</v>
      </c>
      <c r="C100" s="217"/>
      <c r="D100" s="217"/>
      <c r="E100" s="217"/>
      <c r="F100" s="217"/>
      <c r="G100" s="217"/>
      <c r="H100" s="217"/>
      <c r="I100" s="217"/>
      <c r="J100" s="217"/>
      <c r="K100" s="217"/>
      <c r="L100" s="217"/>
      <c r="M100" s="217"/>
      <c r="N100" s="217"/>
      <c r="O100" s="217"/>
      <c r="P100" s="217"/>
      <c r="Q100" s="217"/>
      <c r="R100" s="881">
        <f t="shared" si="44"/>
        <v>0</v>
      </c>
      <c r="S100" s="217">
        <f t="shared" si="45"/>
        <v>0</v>
      </c>
      <c r="T100" s="217"/>
      <c r="U100" s="213"/>
    </row>
    <row r="101" spans="1:21" s="214" customFormat="1" ht="12" customHeight="1">
      <c r="A101" s="215" t="s">
        <v>839</v>
      </c>
      <c r="B101" s="216">
        <f t="shared" si="46"/>
        <v>0</v>
      </c>
      <c r="C101" s="217"/>
      <c r="D101" s="217"/>
      <c r="E101" s="217"/>
      <c r="F101" s="217"/>
      <c r="G101" s="217"/>
      <c r="H101" s="217"/>
      <c r="I101" s="217"/>
      <c r="J101" s="217"/>
      <c r="K101" s="217"/>
      <c r="L101" s="217"/>
      <c r="M101" s="217"/>
      <c r="N101" s="217"/>
      <c r="O101" s="217"/>
      <c r="P101" s="217"/>
      <c r="Q101" s="217"/>
      <c r="R101" s="881">
        <f t="shared" si="44"/>
        <v>0</v>
      </c>
      <c r="S101" s="217">
        <f t="shared" si="45"/>
        <v>0</v>
      </c>
      <c r="T101" s="217"/>
      <c r="U101" s="213"/>
    </row>
    <row r="102" spans="1:21" s="214" customFormat="1">
      <c r="A102" s="441" t="s">
        <v>2016</v>
      </c>
      <c r="B102" s="216">
        <f t="shared" si="46"/>
        <v>0</v>
      </c>
      <c r="C102" s="217"/>
      <c r="D102" s="217"/>
      <c r="E102" s="217"/>
      <c r="F102" s="217"/>
      <c r="G102" s="217"/>
      <c r="H102" s="217"/>
      <c r="I102" s="217"/>
      <c r="J102" s="217"/>
      <c r="K102" s="217"/>
      <c r="L102" s="217"/>
      <c r="M102" s="217"/>
      <c r="N102" s="217"/>
      <c r="O102" s="217"/>
      <c r="P102" s="217"/>
      <c r="Q102" s="217"/>
      <c r="R102" s="881">
        <f t="shared" si="44"/>
        <v>0</v>
      </c>
      <c r="S102" s="217">
        <f t="shared" si="45"/>
        <v>0</v>
      </c>
      <c r="T102" s="217"/>
      <c r="U102" s="213"/>
    </row>
    <row r="103" spans="1:21" s="214" customFormat="1">
      <c r="A103" s="222" t="s">
        <v>35</v>
      </c>
      <c r="B103" s="216">
        <f t="shared" si="46"/>
        <v>0</v>
      </c>
      <c r="C103" s="217"/>
      <c r="D103" s="217"/>
      <c r="E103" s="217"/>
      <c r="F103" s="217"/>
      <c r="G103" s="217"/>
      <c r="H103" s="217"/>
      <c r="I103" s="217"/>
      <c r="J103" s="217"/>
      <c r="K103" s="217"/>
      <c r="L103" s="217"/>
      <c r="M103" s="217"/>
      <c r="N103" s="217"/>
      <c r="O103" s="217"/>
      <c r="P103" s="217"/>
      <c r="Q103" s="217"/>
      <c r="R103" s="881">
        <f t="shared" si="44"/>
        <v>0</v>
      </c>
      <c r="S103" s="217">
        <f t="shared" si="45"/>
        <v>0</v>
      </c>
      <c r="T103" s="217"/>
      <c r="U103" s="213"/>
    </row>
    <row r="104" spans="1:21" s="214" customFormat="1" ht="12">
      <c r="A104" s="219" t="s">
        <v>840</v>
      </c>
      <c r="B104" s="216">
        <f>SUM(C104:D104)</f>
        <v>7491538</v>
      </c>
      <c r="C104" s="216">
        <f>SUM(C99:C103)</f>
        <v>7491538</v>
      </c>
      <c r="D104" s="216">
        <f t="shared" ref="D104:T104" si="47">SUM(D99:D103)</f>
        <v>0</v>
      </c>
      <c r="E104" s="216">
        <f t="shared" si="47"/>
        <v>2500000.333333333</v>
      </c>
      <c r="F104" s="216">
        <f t="shared" si="47"/>
        <v>0</v>
      </c>
      <c r="G104" s="216">
        <f t="shared" si="47"/>
        <v>4991537.666666667</v>
      </c>
      <c r="H104" s="216">
        <f t="shared" si="47"/>
        <v>0</v>
      </c>
      <c r="I104" s="216">
        <f t="shared" si="47"/>
        <v>0</v>
      </c>
      <c r="J104" s="216">
        <f t="shared" si="47"/>
        <v>0</v>
      </c>
      <c r="K104" s="216">
        <f t="shared" si="47"/>
        <v>0</v>
      </c>
      <c r="L104" s="216">
        <f t="shared" si="47"/>
        <v>0</v>
      </c>
      <c r="M104" s="216">
        <f t="shared" si="47"/>
        <v>0</v>
      </c>
      <c r="N104" s="216">
        <f t="shared" si="47"/>
        <v>0</v>
      </c>
      <c r="O104" s="216">
        <f t="shared" si="47"/>
        <v>0</v>
      </c>
      <c r="P104" s="216">
        <f t="shared" si="47"/>
        <v>0</v>
      </c>
      <c r="Q104" s="216">
        <f t="shared" si="47"/>
        <v>0</v>
      </c>
      <c r="R104" s="535">
        <f t="shared" si="47"/>
        <v>7491538</v>
      </c>
      <c r="S104" s="220">
        <f t="shared" si="47"/>
        <v>7491538</v>
      </c>
      <c r="T104" s="220">
        <f t="shared" si="47"/>
        <v>0</v>
      </c>
      <c r="U104" s="213"/>
    </row>
    <row r="105" spans="1:21" s="214" customFormat="1" ht="12">
      <c r="A105" s="219" t="s">
        <v>841</v>
      </c>
      <c r="B105" s="220">
        <f>SUM(C105:D105)</f>
        <v>63896621.333333336</v>
      </c>
      <c r="C105" s="220">
        <f t="shared" ref="C105:R105" si="48">SUM(C97+C104)</f>
        <v>63896621.333333336</v>
      </c>
      <c r="D105" s="220">
        <f t="shared" si="48"/>
        <v>0</v>
      </c>
      <c r="E105" s="220">
        <f t="shared" si="48"/>
        <v>32600844.999999996</v>
      </c>
      <c r="F105" s="220">
        <f t="shared" si="48"/>
        <v>26304238.666666668</v>
      </c>
      <c r="G105" s="220">
        <f t="shared" si="48"/>
        <v>4991537.666666667</v>
      </c>
      <c r="H105" s="220">
        <f t="shared" si="48"/>
        <v>0</v>
      </c>
      <c r="I105" s="220">
        <f t="shared" si="48"/>
        <v>0</v>
      </c>
      <c r="J105" s="220">
        <f t="shared" si="48"/>
        <v>0</v>
      </c>
      <c r="K105" s="220">
        <f t="shared" si="48"/>
        <v>0</v>
      </c>
      <c r="L105" s="220">
        <f t="shared" si="48"/>
        <v>0</v>
      </c>
      <c r="M105" s="220">
        <f t="shared" si="48"/>
        <v>0</v>
      </c>
      <c r="N105" s="220">
        <f t="shared" si="48"/>
        <v>0</v>
      </c>
      <c r="O105" s="220">
        <f t="shared" si="48"/>
        <v>0</v>
      </c>
      <c r="P105" s="220">
        <f t="shared" si="48"/>
        <v>0</v>
      </c>
      <c r="Q105" s="220">
        <f t="shared" si="48"/>
        <v>0</v>
      </c>
      <c r="R105" s="535">
        <f t="shared" si="48"/>
        <v>63896621.333333336</v>
      </c>
      <c r="S105" s="220">
        <f>S97+S104</f>
        <v>57435126</v>
      </c>
      <c r="T105" s="220">
        <f>T97+T104</f>
        <v>0</v>
      </c>
      <c r="U105" s="213"/>
    </row>
    <row r="106" spans="1:21" ht="12">
      <c r="A106" s="868" t="s">
        <v>1136</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57435126</v>
      </c>
      <c r="T107" s="234">
        <f>T105+T106</f>
        <v>0</v>
      </c>
    </row>
    <row r="108" spans="1:21" s="301" customFormat="1" ht="12">
      <c r="A108" s="233" t="s">
        <v>947</v>
      </c>
      <c r="B108" s="228"/>
      <c r="C108" s="228"/>
      <c r="D108" s="228"/>
      <c r="E108" s="465">
        <f>Application!AO650</f>
        <v>32600845</v>
      </c>
      <c r="F108" s="465">
        <f>Application!AO637</f>
        <v>26304238.666666668</v>
      </c>
      <c r="G108" s="465">
        <f>Application!AO638</f>
        <v>4991537.666666667</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1040</v>
      </c>
      <c r="B110" s="228"/>
      <c r="C110" s="228"/>
      <c r="D110" s="228"/>
    </row>
    <row r="111" spans="1:21" ht="12">
      <c r="A111" s="227" t="s">
        <v>1041</v>
      </c>
      <c r="B111" s="228"/>
      <c r="C111" s="228"/>
      <c r="D111" s="228"/>
    </row>
    <row r="112" spans="1:21" ht="12" customHeight="1">
      <c r="A112" s="486"/>
      <c r="B112" s="228"/>
      <c r="C112" s="228"/>
      <c r="D112" s="228"/>
    </row>
    <row r="113" spans="1:21" ht="12">
      <c r="A113" s="227" t="s">
        <v>1130</v>
      </c>
      <c r="B113" s="228"/>
      <c r="C113" s="228"/>
      <c r="D113" s="228"/>
    </row>
    <row r="114" spans="1:21" ht="12">
      <c r="A114" s="227" t="s">
        <v>1131</v>
      </c>
      <c r="B114" s="228"/>
      <c r="C114" s="228"/>
      <c r="D114" s="228"/>
    </row>
    <row r="115" spans="1:21" ht="12" customHeight="1">
      <c r="A115" s="486"/>
      <c r="B115" s="228"/>
      <c r="C115" s="228"/>
      <c r="D115" s="228"/>
    </row>
    <row r="116" spans="1:21" ht="12">
      <c r="A116" s="538" t="s">
        <v>1138</v>
      </c>
      <c r="B116" s="228"/>
      <c r="C116" s="228"/>
      <c r="D116" s="228"/>
    </row>
    <row r="117" spans="1:21" ht="12">
      <c r="A117" s="538" t="s">
        <v>1445</v>
      </c>
      <c r="B117" s="228"/>
      <c r="C117" s="228"/>
      <c r="D117" s="228"/>
    </row>
    <row r="118" spans="1:21" ht="12">
      <c r="A118" s="538" t="s">
        <v>1137</v>
      </c>
      <c r="B118" s="228"/>
      <c r="C118" s="228"/>
      <c r="D118" s="228"/>
    </row>
    <row r="119" spans="1:21" ht="12">
      <c r="A119" s="538" t="s">
        <v>1139</v>
      </c>
      <c r="B119" s="228"/>
      <c r="C119" s="228"/>
      <c r="D119" s="228"/>
    </row>
    <row r="120" spans="1:21" ht="12" customHeight="1">
      <c r="A120" s="537"/>
      <c r="B120" s="228"/>
      <c r="C120" s="228"/>
      <c r="D120" s="228"/>
    </row>
    <row r="121" spans="1:21" ht="15.6">
      <c r="A121" s="531" t="s">
        <v>1114</v>
      </c>
      <c r="B121" s="228"/>
      <c r="C121" s="228"/>
      <c r="D121" s="228"/>
    </row>
    <row r="122" spans="1:21">
      <c r="A122" s="516" t="s">
        <v>1098</v>
      </c>
      <c r="B122" s="515"/>
      <c r="C122" s="515"/>
      <c r="D122" s="2575" t="s">
        <v>1099</v>
      </c>
      <c r="E122" s="2575"/>
      <c r="F122" s="2575"/>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5" t="s">
        <v>1446</v>
      </c>
      <c r="E123" s="2566"/>
      <c r="F123" s="2566"/>
      <c r="G123" s="2566"/>
      <c r="H123" s="2566"/>
      <c r="I123" s="2566"/>
      <c r="J123" s="2566"/>
      <c r="K123" s="2566"/>
      <c r="L123" s="2566"/>
      <c r="M123" s="2566"/>
      <c r="N123" s="2566"/>
      <c r="O123" s="2566"/>
      <c r="P123" s="2566"/>
      <c r="Q123" s="2566"/>
      <c r="R123" s="2566"/>
      <c r="S123" s="2566"/>
      <c r="T123" s="515"/>
      <c r="U123" s="517"/>
    </row>
    <row r="124" spans="1:21" ht="13.2">
      <c r="A124" s="514" t="s">
        <v>1101</v>
      </c>
      <c r="B124" s="524"/>
      <c r="C124" s="514"/>
      <c r="D124" s="2566"/>
      <c r="E124" s="2566"/>
      <c r="F124" s="2566"/>
      <c r="G124" s="2566"/>
      <c r="H124" s="2566"/>
      <c r="I124" s="2566"/>
      <c r="J124" s="2566"/>
      <c r="K124" s="2566"/>
      <c r="L124" s="2566"/>
      <c r="M124" s="2566"/>
      <c r="N124" s="2566"/>
      <c r="O124" s="2566"/>
      <c r="P124" s="2566"/>
      <c r="Q124" s="2566"/>
      <c r="R124" s="2566"/>
      <c r="S124" s="2566"/>
      <c r="T124" s="515"/>
      <c r="U124" s="517"/>
    </row>
    <row r="125" spans="1:21" ht="13.2">
      <c r="A125" s="514" t="s">
        <v>1102</v>
      </c>
      <c r="B125" s="524"/>
      <c r="C125" s="514"/>
      <c r="D125" s="2566"/>
      <c r="E125" s="2566"/>
      <c r="F125" s="2566"/>
      <c r="G125" s="2566"/>
      <c r="H125" s="2566"/>
      <c r="I125" s="2566"/>
      <c r="J125" s="2566"/>
      <c r="K125" s="2566"/>
      <c r="L125" s="2566"/>
      <c r="M125" s="2566"/>
      <c r="N125" s="2566"/>
      <c r="O125" s="2566"/>
      <c r="P125" s="2566"/>
      <c r="Q125" s="2566"/>
      <c r="R125" s="2566"/>
      <c r="S125" s="2566"/>
      <c r="T125" s="515"/>
      <c r="U125" s="517"/>
    </row>
    <row r="126" spans="1:21" ht="13.2">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1105</v>
      </c>
      <c r="B128" s="524"/>
      <c r="C128" s="514"/>
      <c r="D128" s="2573"/>
      <c r="E128" s="2573"/>
      <c r="F128" s="2573"/>
      <c r="G128" s="2573"/>
      <c r="H128" s="2573"/>
      <c r="I128" s="514"/>
      <c r="J128" s="2564"/>
      <c r="K128" s="2564"/>
      <c r="L128" s="514"/>
      <c r="M128" s="514"/>
      <c r="N128" s="514"/>
      <c r="O128" s="514"/>
      <c r="P128" s="514"/>
      <c r="Q128" s="514"/>
      <c r="R128" s="514"/>
      <c r="S128" s="514"/>
      <c r="T128" s="515"/>
      <c r="U128" s="517"/>
    </row>
    <row r="129" spans="1:21" ht="13.2">
      <c r="A129" s="514" t="s">
        <v>310</v>
      </c>
      <c r="B129" s="524"/>
      <c r="C129" s="514"/>
      <c r="D129" s="2574" t="s">
        <v>1106</v>
      </c>
      <c r="E129" s="2574"/>
      <c r="F129" s="2574"/>
      <c r="G129" s="2574"/>
      <c r="H129" s="2574"/>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1108</v>
      </c>
      <c r="B131" s="525">
        <f>SUM(B123:B129)</f>
        <v>0</v>
      </c>
      <c r="C131" s="514"/>
      <c r="D131" s="2188"/>
      <c r="E131" s="2188"/>
      <c r="F131" s="2188"/>
      <c r="G131" s="2188"/>
      <c r="H131" s="2188"/>
      <c r="I131" s="514"/>
      <c r="J131" s="2188"/>
      <c r="K131" s="2188"/>
      <c r="L131" s="2188"/>
      <c r="M131" s="2188"/>
      <c r="N131" s="514"/>
      <c r="O131" s="514"/>
      <c r="P131" s="514"/>
      <c r="Q131" s="514"/>
      <c r="R131" s="514"/>
      <c r="S131" s="514"/>
      <c r="T131" s="515"/>
      <c r="U131" s="517"/>
    </row>
    <row r="132" spans="1:21" ht="12" customHeight="1">
      <c r="A132" s="528"/>
      <c r="B132" s="514"/>
      <c r="C132" s="514"/>
      <c r="D132" s="2567" t="s">
        <v>1109</v>
      </c>
      <c r="E132" s="2567"/>
      <c r="F132" s="2567"/>
      <c r="G132" s="2567"/>
      <c r="H132" s="2567"/>
      <c r="I132" s="514"/>
      <c r="J132" s="2567" t="s">
        <v>1110</v>
      </c>
      <c r="K132" s="2567"/>
      <c r="L132" s="2567"/>
      <c r="M132" s="256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8"/>
      <c r="B138" s="2569"/>
      <c r="C138" s="2569"/>
      <c r="D138" s="519"/>
      <c r="E138" s="2564"/>
      <c r="F138" s="2564"/>
      <c r="G138" s="514"/>
      <c r="H138" s="514"/>
      <c r="I138" s="514"/>
      <c r="J138" s="514"/>
      <c r="K138" s="514"/>
      <c r="L138" s="514"/>
      <c r="M138" s="514"/>
      <c r="N138" s="514"/>
      <c r="O138" s="514"/>
      <c r="P138" s="514"/>
      <c r="Q138" s="514"/>
      <c r="R138" s="514"/>
      <c r="S138" s="514"/>
      <c r="T138" s="521"/>
      <c r="U138" s="522"/>
    </row>
    <row r="139" spans="1:21" ht="13.2">
      <c r="A139" s="2562" t="s">
        <v>1113</v>
      </c>
      <c r="B139" s="2563"/>
      <c r="C139" s="2563"/>
      <c r="D139" s="519"/>
      <c r="E139" s="514" t="s">
        <v>1107</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1" priority="260" stopIfTrue="1">
      <formula>T9&gt;C9</formula>
    </cfRule>
  </conditionalFormatting>
  <conditionalFormatting sqref="S10 S29">
    <cfRule type="expression" dxfId="110" priority="259" stopIfTrue="1">
      <formula>(S10+T10)&gt;C10</formula>
    </cfRule>
  </conditionalFormatting>
  <conditionalFormatting sqref="R8">
    <cfRule type="cellIs" dxfId="109" priority="248" stopIfTrue="1" operator="notEqual">
      <formula>$B8</formula>
    </cfRule>
    <cfRule type="cellIs" priority="251" stopIfTrue="1" operator="notEqual">
      <formula>$B8</formula>
    </cfRule>
  </conditionalFormatting>
  <conditionalFormatting sqref="R4:R7 R56:R61 R45:R53 R83:R95 R99:R103">
    <cfRule type="cellIs" dxfId="108" priority="250" stopIfTrue="1" operator="notEqual">
      <formula>$B4</formula>
    </cfRule>
  </conditionalFormatting>
  <conditionalFormatting sqref="R9:R10">
    <cfRule type="cellIs" dxfId="107" priority="249" stopIfTrue="1" operator="notEqual">
      <formula>$B9</formula>
    </cfRule>
  </conditionalFormatting>
  <conditionalFormatting sqref="R11:R12">
    <cfRule type="cellIs" dxfId="106" priority="246" stopIfTrue="1" operator="notEqual">
      <formula>$B11</formula>
    </cfRule>
    <cfRule type="cellIs" priority="247" stopIfTrue="1" operator="notEqual">
      <formula>$B11</formula>
    </cfRule>
  </conditionalFormatting>
  <conditionalFormatting sqref="R13:R15">
    <cfRule type="cellIs" dxfId="105" priority="245" stopIfTrue="1" operator="notEqual">
      <formula>$B13</formula>
    </cfRule>
  </conditionalFormatting>
  <conditionalFormatting sqref="R26">
    <cfRule type="cellIs" dxfId="104" priority="243" stopIfTrue="1" operator="notEqual">
      <formula>$B26</formula>
    </cfRule>
    <cfRule type="cellIs" priority="244" stopIfTrue="1" operator="notEqual">
      <formula>$B26</formula>
    </cfRule>
  </conditionalFormatting>
  <conditionalFormatting sqref="R17:R25">
    <cfRule type="cellIs" dxfId="103" priority="242" stopIfTrue="1" operator="notEqual">
      <formula>$B17</formula>
    </cfRule>
  </conditionalFormatting>
  <conditionalFormatting sqref="R27">
    <cfRule type="cellIs" dxfId="102" priority="241" stopIfTrue="1" operator="notEqual">
      <formula>$B27</formula>
    </cfRule>
  </conditionalFormatting>
  <conditionalFormatting sqref="R38">
    <cfRule type="cellIs" dxfId="101" priority="239" stopIfTrue="1" operator="notEqual">
      <formula>$B38</formula>
    </cfRule>
    <cfRule type="cellIs" priority="240" stopIfTrue="1" operator="notEqual">
      <formula>$B38</formula>
    </cfRule>
  </conditionalFormatting>
  <conditionalFormatting sqref="R29:R37">
    <cfRule type="cellIs" dxfId="100" priority="238" stopIfTrue="1" operator="notEqual">
      <formula>$B29</formula>
    </cfRule>
  </conditionalFormatting>
  <conditionalFormatting sqref="R42">
    <cfRule type="cellIs" dxfId="99" priority="236" stopIfTrue="1" operator="notEqual">
      <formula>$B42</formula>
    </cfRule>
    <cfRule type="cellIs" priority="237" stopIfTrue="1" operator="notEqual">
      <formula>$B42</formula>
    </cfRule>
  </conditionalFormatting>
  <conditionalFormatting sqref="R40:R41">
    <cfRule type="cellIs" dxfId="98" priority="235" stopIfTrue="1" operator="notEqual">
      <formula>$B40</formula>
    </cfRule>
  </conditionalFormatting>
  <conditionalFormatting sqref="R43">
    <cfRule type="cellIs" dxfId="97" priority="234" stopIfTrue="1" operator="notEqual">
      <formula>$B43</formula>
    </cfRule>
  </conditionalFormatting>
  <conditionalFormatting sqref="R54">
    <cfRule type="cellIs" dxfId="96" priority="232" stopIfTrue="1" operator="notEqual">
      <formula>$B54</formula>
    </cfRule>
    <cfRule type="cellIs" priority="233" stopIfTrue="1" operator="notEqual">
      <formula>$B54</formula>
    </cfRule>
  </conditionalFormatting>
  <conditionalFormatting sqref="R62:R63">
    <cfRule type="cellIs" dxfId="95" priority="229" stopIfTrue="1" operator="notEqual">
      <formula>$B62</formula>
    </cfRule>
    <cfRule type="cellIs" priority="230" stopIfTrue="1" operator="notEqual">
      <formula>$B62</formula>
    </cfRule>
  </conditionalFormatting>
  <conditionalFormatting sqref="R70">
    <cfRule type="cellIs" dxfId="94" priority="226" stopIfTrue="1" operator="notEqual">
      <formula>$B70</formula>
    </cfRule>
    <cfRule type="cellIs" priority="227" stopIfTrue="1" operator="notEqual">
      <formula>$B70</formula>
    </cfRule>
  </conditionalFormatting>
  <conditionalFormatting sqref="R65:R69">
    <cfRule type="cellIs" dxfId="93" priority="225" stopIfTrue="1" operator="notEqual">
      <formula>$B65</formula>
    </cfRule>
  </conditionalFormatting>
  <conditionalFormatting sqref="R77">
    <cfRule type="cellIs" dxfId="92" priority="223" stopIfTrue="1" operator="notEqual">
      <formula>$B77</formula>
    </cfRule>
    <cfRule type="cellIs" priority="224" stopIfTrue="1" operator="notEqual">
      <formula>$B77</formula>
    </cfRule>
  </conditionalFormatting>
  <conditionalFormatting sqref="R96">
    <cfRule type="cellIs" dxfId="91" priority="221" stopIfTrue="1" operator="notEqual">
      <formula>$B96</formula>
    </cfRule>
    <cfRule type="cellIs" priority="222" stopIfTrue="1" operator="notEqual">
      <formula>$B96</formula>
    </cfRule>
  </conditionalFormatting>
  <conditionalFormatting sqref="R72:R76">
    <cfRule type="cellIs" dxfId="90" priority="220" stopIfTrue="1" operator="notEqual">
      <formula>$B72</formula>
    </cfRule>
  </conditionalFormatting>
  <conditionalFormatting sqref="R79:R80">
    <cfRule type="cellIs" dxfId="89" priority="219" stopIfTrue="1" operator="notEqual">
      <formula>$B79</formula>
    </cfRule>
  </conditionalFormatting>
  <conditionalFormatting sqref="R104:R105">
    <cfRule type="cellIs" dxfId="88" priority="216" stopIfTrue="1" operator="notEqual">
      <formula>$B104</formula>
    </cfRule>
    <cfRule type="cellIs" priority="217" stopIfTrue="1" operator="notEqual">
      <formula>$B104</formula>
    </cfRule>
  </conditionalFormatting>
  <conditionalFormatting sqref="E105:Q105">
    <cfRule type="cellIs" dxfId="87" priority="214" stopIfTrue="1" operator="notEqual">
      <formula>E$108</formula>
    </cfRule>
  </conditionalFormatting>
  <conditionalFormatting sqref="S13">
    <cfRule type="expression" dxfId="86" priority="211" stopIfTrue="1">
      <formula>(S13+T13)&gt;C13</formula>
    </cfRule>
  </conditionalFormatting>
  <conditionalFormatting sqref="C10">
    <cfRule type="expression" dxfId="85" priority="91">
      <formula>"(S10+T10)&gt;C10 "</formula>
    </cfRule>
  </conditionalFormatting>
  <conditionalFormatting sqref="T10 T29">
    <cfRule type="expression" dxfId="84" priority="89" stopIfTrue="1">
      <formula>(S10+T10)&gt;C10</formula>
    </cfRule>
  </conditionalFormatting>
  <conditionalFormatting sqref="T13">
    <cfRule type="expression" dxfId="83" priority="87" stopIfTrue="1">
      <formula>(S13+T13)&gt;C13</formula>
    </cfRule>
  </conditionalFormatting>
  <conditionalFormatting sqref="T14">
    <cfRule type="expression" dxfId="82" priority="86" stopIfTrue="1">
      <formula>(S14+T14)&gt;C14</formula>
    </cfRule>
  </conditionalFormatting>
  <conditionalFormatting sqref="T17">
    <cfRule type="expression" dxfId="81" priority="85" stopIfTrue="1">
      <formula>(S17+T17)&gt;C17</formula>
    </cfRule>
  </conditionalFormatting>
  <conditionalFormatting sqref="T18">
    <cfRule type="expression" dxfId="80" priority="68" stopIfTrue="1">
      <formula>(S18+T18)&gt;C18</formula>
    </cfRule>
  </conditionalFormatting>
  <conditionalFormatting sqref="T19">
    <cfRule type="expression" dxfId="79" priority="67" stopIfTrue="1">
      <formula>(S19+T19)&gt;C19</formula>
    </cfRule>
  </conditionalFormatting>
  <conditionalFormatting sqref="T20">
    <cfRule type="expression" dxfId="78" priority="66" stopIfTrue="1">
      <formula>(S20+T20)&gt;C20</formula>
    </cfRule>
  </conditionalFormatting>
  <conditionalFormatting sqref="T21">
    <cfRule type="expression" dxfId="77" priority="65" stopIfTrue="1">
      <formula>(S21+T21)&gt;C21</formula>
    </cfRule>
  </conditionalFormatting>
  <conditionalFormatting sqref="T22">
    <cfRule type="expression" dxfId="76" priority="64" stopIfTrue="1">
      <formula>(S22+T22)&gt;C22</formula>
    </cfRule>
  </conditionalFormatting>
  <conditionalFormatting sqref="T23:T24">
    <cfRule type="expression" dxfId="75" priority="63" stopIfTrue="1">
      <formula>(S23+T23)&gt;C23</formula>
    </cfRule>
  </conditionalFormatting>
  <conditionalFormatting sqref="T25">
    <cfRule type="expression" dxfId="74" priority="62" stopIfTrue="1">
      <formula>(S25+T25)&gt;C25</formula>
    </cfRule>
  </conditionalFormatting>
  <conditionalFormatting sqref="T27">
    <cfRule type="expression" dxfId="73" priority="60" stopIfTrue="1">
      <formula>(S27+T27)&gt;C27</formula>
    </cfRule>
  </conditionalFormatting>
  <conditionalFormatting sqref="T30">
    <cfRule type="expression" dxfId="72" priority="57" stopIfTrue="1">
      <formula>(S30+T30)&gt;C30</formula>
    </cfRule>
  </conditionalFormatting>
  <conditionalFormatting sqref="T31">
    <cfRule type="expression" dxfId="71" priority="56" stopIfTrue="1">
      <formula>(S31+T31)&gt;C31</formula>
    </cfRule>
  </conditionalFormatting>
  <conditionalFormatting sqref="T32">
    <cfRule type="expression" dxfId="70" priority="55" stopIfTrue="1">
      <formula>(S32+T32)&gt;C32</formula>
    </cfRule>
  </conditionalFormatting>
  <conditionalFormatting sqref="T33">
    <cfRule type="expression" dxfId="69" priority="54" stopIfTrue="1">
      <formula>(S33+T33)&gt;C33</formula>
    </cfRule>
  </conditionalFormatting>
  <conditionalFormatting sqref="T34">
    <cfRule type="expression" dxfId="68" priority="53" stopIfTrue="1">
      <formula>(S34+T34)&gt;C34</formula>
    </cfRule>
  </conditionalFormatting>
  <conditionalFormatting sqref="T35:T36">
    <cfRule type="expression" dxfId="67" priority="52" stopIfTrue="1">
      <formula>(S35+T35)&gt;C35</formula>
    </cfRule>
  </conditionalFormatting>
  <conditionalFormatting sqref="T37">
    <cfRule type="expression" dxfId="66" priority="51" stopIfTrue="1">
      <formula>(S37+T37)&gt;C37</formula>
    </cfRule>
  </conditionalFormatting>
  <conditionalFormatting sqref="T40">
    <cfRule type="expression" dxfId="65" priority="50" stopIfTrue="1">
      <formula>(S40+T40)&gt;C40</formula>
    </cfRule>
  </conditionalFormatting>
  <conditionalFormatting sqref="T41">
    <cfRule type="expression" dxfId="64" priority="49" stopIfTrue="1">
      <formula>(S41+T41)&gt;C41</formula>
    </cfRule>
  </conditionalFormatting>
  <conditionalFormatting sqref="T43">
    <cfRule type="expression" dxfId="63" priority="48" stopIfTrue="1">
      <formula>(S43+T43)&gt;C43</formula>
    </cfRule>
  </conditionalFormatting>
  <conditionalFormatting sqref="T45">
    <cfRule type="expression" dxfId="62" priority="47" stopIfTrue="1">
      <formula>(S45+T45)&gt;C45</formula>
    </cfRule>
  </conditionalFormatting>
  <conditionalFormatting sqref="T46">
    <cfRule type="expression" dxfId="61" priority="46" stopIfTrue="1">
      <formula>(S46+T46)&gt;C46</formula>
    </cfRule>
  </conditionalFormatting>
  <conditionalFormatting sqref="T47">
    <cfRule type="expression" dxfId="60" priority="45" stopIfTrue="1">
      <formula>(S47+T47)&gt;C47</formula>
    </cfRule>
  </conditionalFormatting>
  <conditionalFormatting sqref="T48">
    <cfRule type="expression" dxfId="59" priority="44" stopIfTrue="1">
      <formula>(S48+T48)&gt;C48</formula>
    </cfRule>
  </conditionalFormatting>
  <conditionalFormatting sqref="T49">
    <cfRule type="expression" dxfId="58" priority="43" stopIfTrue="1">
      <formula>(S49+T49)&gt;C49</formula>
    </cfRule>
  </conditionalFormatting>
  <conditionalFormatting sqref="T50">
    <cfRule type="expression" dxfId="57" priority="42" stopIfTrue="1">
      <formula>(S50+T50)&gt;C50</formula>
    </cfRule>
  </conditionalFormatting>
  <conditionalFormatting sqref="T51">
    <cfRule type="expression" dxfId="56" priority="41" stopIfTrue="1">
      <formula>(S51+T51)&gt;C51</formula>
    </cfRule>
  </conditionalFormatting>
  <conditionalFormatting sqref="T52">
    <cfRule type="expression" dxfId="55" priority="40" stopIfTrue="1">
      <formula>(S52+T52)&gt;C52</formula>
    </cfRule>
  </conditionalFormatting>
  <conditionalFormatting sqref="T53">
    <cfRule type="expression" dxfId="54" priority="38" stopIfTrue="1">
      <formula>(S53+T53)&gt;C53</formula>
    </cfRule>
  </conditionalFormatting>
  <conditionalFormatting sqref="T65:T68">
    <cfRule type="expression" dxfId="53" priority="37" stopIfTrue="1">
      <formula>(S65+T65)&gt;C65</formula>
    </cfRule>
  </conditionalFormatting>
  <conditionalFormatting sqref="T69">
    <cfRule type="expression" dxfId="52" priority="36" stopIfTrue="1">
      <formula>(S69+T69)&gt;C69</formula>
    </cfRule>
  </conditionalFormatting>
  <conditionalFormatting sqref="T79">
    <cfRule type="expression" dxfId="51" priority="35" stopIfTrue="1">
      <formula>(S79+T79)&gt;C79</formula>
    </cfRule>
  </conditionalFormatting>
  <conditionalFormatting sqref="T80">
    <cfRule type="expression" dxfId="50" priority="34" stopIfTrue="1">
      <formula>(S80+T80)&gt;C80</formula>
    </cfRule>
  </conditionalFormatting>
  <conditionalFormatting sqref="T84">
    <cfRule type="expression" dxfId="49" priority="33" stopIfTrue="1">
      <formula>(S84+T84)&gt;C84</formula>
    </cfRule>
  </conditionalFormatting>
  <conditionalFormatting sqref="T85">
    <cfRule type="expression" dxfId="48" priority="32" stopIfTrue="1">
      <formula>(S85+T85)&gt;C85</formula>
    </cfRule>
  </conditionalFormatting>
  <conditionalFormatting sqref="T86">
    <cfRule type="expression" dxfId="47" priority="31" stopIfTrue="1">
      <formula>(S86+T86)&gt;C86</formula>
    </cfRule>
  </conditionalFormatting>
  <conditionalFormatting sqref="T87">
    <cfRule type="expression" dxfId="46" priority="30" stopIfTrue="1">
      <formula>(S87+T87)&gt;C87</formula>
    </cfRule>
  </conditionalFormatting>
  <conditionalFormatting sqref="T89">
    <cfRule type="expression" dxfId="45" priority="29" stopIfTrue="1">
      <formula>(S89+T89)&gt;C89</formula>
    </cfRule>
  </conditionalFormatting>
  <conditionalFormatting sqref="T90">
    <cfRule type="expression" dxfId="44" priority="28" stopIfTrue="1">
      <formula>(S90+T90)&gt;C90</formula>
    </cfRule>
  </conditionalFormatting>
  <conditionalFormatting sqref="T91">
    <cfRule type="expression" dxfId="43" priority="27" stopIfTrue="1">
      <formula>(S91+T91)&gt;C91</formula>
    </cfRule>
  </conditionalFormatting>
  <conditionalFormatting sqref="T92">
    <cfRule type="expression" dxfId="42" priority="26" stopIfTrue="1">
      <formula>(S92+T92)&gt;C92</formula>
    </cfRule>
  </conditionalFormatting>
  <conditionalFormatting sqref="T93">
    <cfRule type="expression" dxfId="41" priority="25" stopIfTrue="1">
      <formula>(S93+T93)&gt;C93</formula>
    </cfRule>
  </conditionalFormatting>
  <conditionalFormatting sqref="T94">
    <cfRule type="expression" dxfId="40" priority="24" stopIfTrue="1">
      <formula>(S94+T94)&gt;C94</formula>
    </cfRule>
  </conditionalFormatting>
  <conditionalFormatting sqref="T95">
    <cfRule type="expression" dxfId="39" priority="23" stopIfTrue="1">
      <formula>(S95+T95)&gt;C95</formula>
    </cfRule>
  </conditionalFormatting>
  <conditionalFormatting sqref="T99">
    <cfRule type="expression" dxfId="38" priority="20" stopIfTrue="1">
      <formula>(S99+T99)&gt;C99</formula>
    </cfRule>
  </conditionalFormatting>
  <conditionalFormatting sqref="T100">
    <cfRule type="expression" dxfId="37" priority="19" stopIfTrue="1">
      <formula>(S100+T100)&gt;C100</formula>
    </cfRule>
  </conditionalFormatting>
  <conditionalFormatting sqref="T101">
    <cfRule type="expression" dxfId="36" priority="17" stopIfTrue="1">
      <formula>(S101+T101)&gt;C101</formula>
    </cfRule>
  </conditionalFormatting>
  <conditionalFormatting sqref="T102">
    <cfRule type="expression" dxfId="35" priority="16" stopIfTrue="1">
      <formula>(S102+T102)&gt;C102</formula>
    </cfRule>
  </conditionalFormatting>
  <conditionalFormatting sqref="T103">
    <cfRule type="expression" dxfId="34" priority="15" stopIfTrue="1">
      <formula>(S103+T103)&gt;C103</formula>
    </cfRule>
  </conditionalFormatting>
  <conditionalFormatting sqref="G10">
    <cfRule type="expression" dxfId="33" priority="14">
      <formula>"(S10+T10)&gt;C10 "</formula>
    </cfRule>
  </conditionalFormatting>
  <conditionalFormatting sqref="S27">
    <cfRule type="expression" dxfId="32" priority="13" stopIfTrue="1">
      <formula>(S27+T27)&gt;C27</formula>
    </cfRule>
  </conditionalFormatting>
  <conditionalFormatting sqref="S17:S25">
    <cfRule type="expression" dxfId="31" priority="12" stopIfTrue="1">
      <formula>(S17+T17)&gt;C17</formula>
    </cfRule>
  </conditionalFormatting>
  <conditionalFormatting sqref="S14">
    <cfRule type="expression" dxfId="30" priority="11" stopIfTrue="1">
      <formula>(S14+T14)&gt;C14</formula>
    </cfRule>
  </conditionalFormatting>
  <conditionalFormatting sqref="S30:S37">
    <cfRule type="expression" dxfId="29" priority="10" stopIfTrue="1">
      <formula>(S30+T30)&gt;C30</formula>
    </cfRule>
  </conditionalFormatting>
  <conditionalFormatting sqref="S40:S41">
    <cfRule type="expression" dxfId="28" priority="9" stopIfTrue="1">
      <formula>(S40+T40)&gt;C40</formula>
    </cfRule>
  </conditionalFormatting>
  <conditionalFormatting sqref="S43">
    <cfRule type="expression" dxfId="27" priority="8" stopIfTrue="1">
      <formula>(S43+T43)&gt;C43</formula>
    </cfRule>
  </conditionalFormatting>
  <conditionalFormatting sqref="S45:S53">
    <cfRule type="expression" dxfId="26" priority="7" stopIfTrue="1">
      <formula>(S45+T45)&gt;C45</formula>
    </cfRule>
  </conditionalFormatting>
  <conditionalFormatting sqref="S65:S69">
    <cfRule type="expression" dxfId="25" priority="6" stopIfTrue="1">
      <formula>(S65+T65)&gt;C65</formula>
    </cfRule>
  </conditionalFormatting>
  <conditionalFormatting sqref="S79:S80">
    <cfRule type="expression" dxfId="24" priority="5" stopIfTrue="1">
      <formula>(S79+T79)&gt;C79</formula>
    </cfRule>
  </conditionalFormatting>
  <conditionalFormatting sqref="S84:S87">
    <cfRule type="expression" dxfId="23" priority="4" stopIfTrue="1">
      <formula>(S84+T84)&gt;C84</formula>
    </cfRule>
  </conditionalFormatting>
  <conditionalFormatting sqref="S89:S93">
    <cfRule type="expression" dxfId="22" priority="3" stopIfTrue="1">
      <formula>(S89+T89)&gt;C89</formula>
    </cfRule>
  </conditionalFormatting>
  <conditionalFormatting sqref="S94:S95">
    <cfRule type="expression" dxfId="21" priority="2" stopIfTrue="1">
      <formula>(S94+T94)&gt;C94</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I103" sqref="I103"/>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82" t="s">
        <v>1449</v>
      </c>
      <c r="B1" s="2583"/>
      <c r="C1" s="2583"/>
      <c r="D1" s="2583"/>
      <c r="E1" s="2583"/>
      <c r="F1" s="2583"/>
      <c r="G1" s="2583"/>
      <c r="H1" s="2583"/>
      <c r="I1" s="2583"/>
      <c r="J1" s="2584"/>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4050000</v>
      </c>
      <c r="C4" s="567"/>
      <c r="D4" s="567"/>
      <c r="E4" s="568"/>
      <c r="F4" s="568"/>
      <c r="G4" s="568"/>
      <c r="H4" s="568"/>
      <c r="I4" s="568"/>
      <c r="J4" s="568"/>
      <c r="K4" s="564"/>
    </row>
    <row r="5" spans="1:11" s="565" customFormat="1" ht="11.4">
      <c r="A5" s="569" t="s">
        <v>29</v>
      </c>
      <c r="B5" s="566">
        <f>'Sources and Uses Budget'!C5</f>
        <v>0</v>
      </c>
      <c r="C5" s="567">
        <f t="shared" ref="C5:C7" si="0">B5</f>
        <v>0</v>
      </c>
      <c r="D5" s="567"/>
      <c r="E5" s="568"/>
      <c r="F5" s="568"/>
      <c r="G5" s="568"/>
      <c r="H5" s="568"/>
      <c r="I5" s="568"/>
      <c r="J5" s="568"/>
      <c r="K5" s="564"/>
    </row>
    <row r="6" spans="1:11" s="565" customFormat="1" ht="11.4">
      <c r="A6" s="569" t="s">
        <v>30</v>
      </c>
      <c r="B6" s="566">
        <f>'Sources and Uses Budget'!C6</f>
        <v>0</v>
      </c>
      <c r="C6" s="567">
        <f t="shared" si="0"/>
        <v>0</v>
      </c>
      <c r="D6" s="567"/>
      <c r="E6" s="568"/>
      <c r="F6" s="568"/>
      <c r="G6" s="568"/>
      <c r="H6" s="568"/>
      <c r="I6" s="568"/>
      <c r="J6" s="568"/>
      <c r="K6" s="564"/>
    </row>
    <row r="7" spans="1:11" s="565" customFormat="1" ht="11.4">
      <c r="A7" s="569" t="s">
        <v>102</v>
      </c>
      <c r="B7" s="566">
        <f>'Sources and Uses Budget'!C7</f>
        <v>0</v>
      </c>
      <c r="C7" s="567">
        <f t="shared" si="0"/>
        <v>0</v>
      </c>
      <c r="D7" s="567"/>
      <c r="E7" s="568"/>
      <c r="F7" s="568"/>
      <c r="G7" s="568"/>
      <c r="H7" s="568"/>
      <c r="I7" s="568"/>
      <c r="J7" s="568"/>
      <c r="K7" s="564"/>
    </row>
    <row r="8" spans="1:11" s="565" customFormat="1">
      <c r="A8" s="570" t="s">
        <v>629</v>
      </c>
      <c r="B8" s="566">
        <f>'Sources and Uses Budget'!C8</f>
        <v>4050000</v>
      </c>
      <c r="C8" s="566">
        <f>SUM(C4:C7)</f>
        <v>0</v>
      </c>
      <c r="D8" s="566">
        <f>SUM(D4:D7)</f>
        <v>0</v>
      </c>
      <c r="E8" s="568"/>
      <c r="F8" s="568"/>
      <c r="G8" s="568"/>
      <c r="H8" s="568"/>
      <c r="I8" s="568"/>
      <c r="J8" s="568"/>
      <c r="K8" s="564"/>
    </row>
    <row r="9" spans="1:11" s="565" customFormat="1" ht="11.4">
      <c r="A9" s="569" t="s">
        <v>630</v>
      </c>
      <c r="B9" s="566">
        <f>'Sources and Uses Budget'!C9</f>
        <v>0</v>
      </c>
      <c r="C9" s="567">
        <f t="shared" ref="C9" si="1">B9</f>
        <v>0</v>
      </c>
      <c r="D9" s="567"/>
      <c r="E9" s="568"/>
      <c r="F9" s="568"/>
      <c r="G9" s="568"/>
      <c r="H9" s="566">
        <f>'Sources and Uses Budget'!T9</f>
        <v>0</v>
      </c>
      <c r="I9" s="567"/>
      <c r="J9" s="567"/>
      <c r="K9" s="564"/>
    </row>
    <row r="10" spans="1:11" s="565" customFormat="1" ht="11.4">
      <c r="A10" s="569" t="s">
        <v>631</v>
      </c>
      <c r="B10" s="566">
        <f>'Sources and Uses Budget'!C10</f>
        <v>150000</v>
      </c>
      <c r="C10" s="567"/>
      <c r="D10" s="567"/>
      <c r="E10" s="566">
        <f>'Sources and Uses Budget'!S10</f>
        <v>150000</v>
      </c>
      <c r="F10" s="567">
        <f>C10</f>
        <v>0</v>
      </c>
      <c r="G10" s="567"/>
      <c r="H10" s="566">
        <f>'Sources and Uses Budget'!T10</f>
        <v>0</v>
      </c>
      <c r="I10" s="567"/>
      <c r="J10" s="567"/>
      <c r="K10" s="564"/>
    </row>
    <row r="11" spans="1:11" s="565" customFormat="1">
      <c r="A11" s="570" t="s">
        <v>632</v>
      </c>
      <c r="B11" s="566">
        <f>'Sources and Uses Budget'!C11</f>
        <v>150000</v>
      </c>
      <c r="C11" s="566"/>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4200000</v>
      </c>
      <c r="C12" s="566"/>
      <c r="D12" s="566">
        <f>SUM(D8+D11)</f>
        <v>0</v>
      </c>
      <c r="E12" s="568"/>
      <c r="F12" s="568"/>
      <c r="G12" s="568"/>
      <c r="H12" s="568"/>
      <c r="I12" s="568"/>
      <c r="J12" s="568"/>
      <c r="K12" s="564"/>
    </row>
    <row r="13" spans="1:11" s="565" customFormat="1" ht="11.4">
      <c r="A13" s="571" t="s">
        <v>974</v>
      </c>
      <c r="B13" s="566">
        <f>'Sources and Uses Budget'!C13</f>
        <v>0</v>
      </c>
      <c r="C13" s="567"/>
      <c r="D13" s="567"/>
      <c r="E13" s="566">
        <f>'Sources and Uses Budget'!S13</f>
        <v>0</v>
      </c>
      <c r="F13" s="567">
        <f t="shared" ref="F13:F14" si="2">C13</f>
        <v>0</v>
      </c>
      <c r="G13" s="567"/>
      <c r="H13" s="566">
        <f>'Sources and Uses Budget'!T13</f>
        <v>0</v>
      </c>
      <c r="I13" s="567"/>
      <c r="J13" s="567"/>
      <c r="K13" s="564"/>
    </row>
    <row r="14" spans="1:11" s="565" customFormat="1" ht="22.8">
      <c r="A14" s="572" t="s">
        <v>975</v>
      </c>
      <c r="B14" s="566">
        <f>'Sources and Uses Budget'!C14</f>
        <v>0</v>
      </c>
      <c r="C14" s="567"/>
      <c r="D14" s="567"/>
      <c r="E14" s="566">
        <f>'Sources and Uses Budget'!S14</f>
        <v>0</v>
      </c>
      <c r="F14" s="567">
        <f t="shared" si="2"/>
        <v>0</v>
      </c>
      <c r="G14" s="567"/>
      <c r="H14" s="566">
        <f>'Sources and Uses Budget'!T14</f>
        <v>0</v>
      </c>
      <c r="I14" s="567"/>
      <c r="J14" s="567"/>
      <c r="K14" s="564"/>
    </row>
    <row r="15" spans="1:11" s="565" customFormat="1" ht="11.4">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633</v>
      </c>
      <c r="B16" s="563"/>
      <c r="C16" s="563"/>
      <c r="D16" s="563"/>
      <c r="E16" s="563"/>
      <c r="F16" s="563"/>
      <c r="G16" s="563"/>
      <c r="H16" s="563"/>
      <c r="I16" s="563"/>
      <c r="J16" s="563"/>
      <c r="K16" s="564"/>
    </row>
    <row r="17" spans="1:11" s="565" customFormat="1" ht="11.4">
      <c r="A17" s="569" t="s">
        <v>634</v>
      </c>
      <c r="B17" s="566">
        <f>'Sources and Uses Budget'!C17</f>
        <v>0</v>
      </c>
      <c r="C17" s="567"/>
      <c r="D17" s="567"/>
      <c r="E17" s="566">
        <f>'Sources and Uses Budget'!S17</f>
        <v>0</v>
      </c>
      <c r="F17" s="567">
        <f t="shared" ref="F17:F25" si="3">C17</f>
        <v>0</v>
      </c>
      <c r="G17" s="567"/>
      <c r="H17" s="566">
        <f>'Sources and Uses Budget'!T17</f>
        <v>0</v>
      </c>
      <c r="I17" s="567"/>
      <c r="J17" s="567"/>
      <c r="K17" s="564"/>
    </row>
    <row r="18" spans="1:11" s="565" customFormat="1" ht="11.4">
      <c r="A18" s="569" t="s">
        <v>635</v>
      </c>
      <c r="B18" s="566">
        <f>'Sources and Uses Budget'!C18</f>
        <v>0</v>
      </c>
      <c r="C18" s="567"/>
      <c r="D18" s="567"/>
      <c r="E18" s="566">
        <f>'Sources and Uses Budget'!S18</f>
        <v>0</v>
      </c>
      <c r="F18" s="567">
        <f t="shared" si="3"/>
        <v>0</v>
      </c>
      <c r="G18" s="567"/>
      <c r="H18" s="566">
        <f>'Sources and Uses Budget'!T18</f>
        <v>0</v>
      </c>
      <c r="I18" s="567"/>
      <c r="J18" s="567"/>
      <c r="K18" s="564"/>
    </row>
    <row r="19" spans="1:11" s="565" customFormat="1" ht="11.4">
      <c r="A19" s="569" t="s">
        <v>636</v>
      </c>
      <c r="B19" s="566">
        <f>'Sources and Uses Budget'!C19</f>
        <v>0</v>
      </c>
      <c r="C19" s="567"/>
      <c r="D19" s="567"/>
      <c r="E19" s="566">
        <f>'Sources and Uses Budget'!S19</f>
        <v>0</v>
      </c>
      <c r="F19" s="567">
        <f t="shared" si="3"/>
        <v>0</v>
      </c>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f t="shared" si="3"/>
        <v>0</v>
      </c>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f t="shared" si="3"/>
        <v>0</v>
      </c>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f t="shared" si="3"/>
        <v>0</v>
      </c>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f t="shared" si="3"/>
        <v>0</v>
      </c>
      <c r="G23" s="567"/>
      <c r="H23" s="566">
        <f>'Sources and Uses Budget'!T23</f>
        <v>0</v>
      </c>
      <c r="I23" s="567"/>
      <c r="J23" s="567"/>
      <c r="K23" s="564"/>
    </row>
    <row r="24" spans="1:11" s="565" customFormat="1" ht="11.4">
      <c r="A24" s="860" t="s">
        <v>2009</v>
      </c>
      <c r="B24" s="566">
        <f>'Sources and Uses Budget'!C24</f>
        <v>0</v>
      </c>
      <c r="C24" s="567"/>
      <c r="D24" s="567"/>
      <c r="E24" s="566">
        <f>'Sources and Uses Budget'!S24</f>
        <v>0</v>
      </c>
      <c r="F24" s="567">
        <f t="shared" si="3"/>
        <v>0</v>
      </c>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f t="shared" si="3"/>
        <v>0</v>
      </c>
      <c r="G25" s="567"/>
      <c r="H25" s="566">
        <f>'Sources and Uses Budget'!T25</f>
        <v>0</v>
      </c>
      <c r="I25" s="567"/>
      <c r="J25" s="567"/>
      <c r="K25" s="564"/>
    </row>
    <row r="26" spans="1:11" s="565" customFormat="1">
      <c r="A26" s="570" t="s">
        <v>138</v>
      </c>
      <c r="B26" s="566">
        <f>'Sources and Uses Budget'!C26</f>
        <v>0</v>
      </c>
      <c r="C26" s="566"/>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204437</v>
      </c>
      <c r="C27" s="567"/>
      <c r="D27" s="567"/>
      <c r="E27" s="566">
        <f>'Sources and Uses Budget'!S27</f>
        <v>0</v>
      </c>
      <c r="F27" s="567">
        <f>C27</f>
        <v>0</v>
      </c>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634</v>
      </c>
      <c r="B29" s="566">
        <f>'Sources and Uses Budget'!C29</f>
        <v>3073000</v>
      </c>
      <c r="C29" s="567"/>
      <c r="D29" s="567"/>
      <c r="E29" s="566">
        <f>'Sources and Uses Budget'!S29</f>
        <v>3073000</v>
      </c>
      <c r="F29" s="567">
        <f t="shared" ref="F29:F37" si="4">C29</f>
        <v>0</v>
      </c>
      <c r="G29" s="567"/>
      <c r="H29" s="566">
        <f>'Sources and Uses Budget'!T29</f>
        <v>0</v>
      </c>
      <c r="I29" s="567"/>
      <c r="J29" s="567"/>
      <c r="K29" s="564"/>
    </row>
    <row r="30" spans="1:11" s="565" customFormat="1" ht="11.4">
      <c r="A30" s="215" t="s">
        <v>635</v>
      </c>
      <c r="B30" s="566">
        <f>'Sources and Uses Budget'!C30</f>
        <v>27827961</v>
      </c>
      <c r="C30" s="567"/>
      <c r="D30" s="567"/>
      <c r="E30" s="566">
        <f>'Sources and Uses Budget'!S30</f>
        <v>27827961</v>
      </c>
      <c r="F30" s="567">
        <f t="shared" si="4"/>
        <v>0</v>
      </c>
      <c r="G30" s="567"/>
      <c r="H30" s="566">
        <f>'Sources and Uses Budget'!T30</f>
        <v>0</v>
      </c>
      <c r="I30" s="567"/>
      <c r="J30" s="567"/>
      <c r="K30" s="564"/>
    </row>
    <row r="31" spans="1:11" s="565" customFormat="1" ht="11.4">
      <c r="A31" s="215" t="s">
        <v>636</v>
      </c>
      <c r="B31" s="566">
        <f>'Sources and Uses Budget'!C31</f>
        <v>1242038</v>
      </c>
      <c r="C31" s="567"/>
      <c r="D31" s="567"/>
      <c r="E31" s="566">
        <f>'Sources and Uses Budget'!S31</f>
        <v>1242038</v>
      </c>
      <c r="F31" s="567">
        <f t="shared" si="4"/>
        <v>0</v>
      </c>
      <c r="G31" s="567"/>
      <c r="H31" s="566">
        <f>'Sources and Uses Budget'!T31</f>
        <v>0</v>
      </c>
      <c r="I31" s="567"/>
      <c r="J31" s="567"/>
      <c r="K31" s="564"/>
    </row>
    <row r="32" spans="1:11" s="565" customFormat="1" ht="11.4">
      <c r="A32" s="215" t="s">
        <v>142</v>
      </c>
      <c r="B32" s="566">
        <f>'Sources and Uses Budget'!C32</f>
        <v>1863058</v>
      </c>
      <c r="C32" s="567"/>
      <c r="D32" s="567"/>
      <c r="E32" s="566">
        <f>'Sources and Uses Budget'!S32</f>
        <v>1863058</v>
      </c>
      <c r="F32" s="567">
        <f t="shared" si="4"/>
        <v>0</v>
      </c>
      <c r="G32" s="567"/>
      <c r="H32" s="566">
        <f>'Sources and Uses Budget'!T32</f>
        <v>0</v>
      </c>
      <c r="I32" s="567"/>
      <c r="J32" s="567"/>
      <c r="K32" s="564"/>
    </row>
    <row r="33" spans="1:11" s="565" customFormat="1" ht="11.4">
      <c r="A33" s="215" t="s">
        <v>143</v>
      </c>
      <c r="B33" s="566">
        <f>'Sources and Uses Budget'!C33</f>
        <v>1242038</v>
      </c>
      <c r="C33" s="567"/>
      <c r="D33" s="567"/>
      <c r="E33" s="566">
        <f>'Sources and Uses Budget'!S33</f>
        <v>1242038</v>
      </c>
      <c r="F33" s="567">
        <f t="shared" si="4"/>
        <v>0</v>
      </c>
      <c r="G33" s="567"/>
      <c r="H33" s="566">
        <f>'Sources and Uses Budget'!T33</f>
        <v>0</v>
      </c>
      <c r="I33" s="567"/>
      <c r="J33" s="567"/>
      <c r="K33" s="564"/>
    </row>
    <row r="34" spans="1:11" s="565" customFormat="1" ht="11.4">
      <c r="A34" s="215" t="s">
        <v>144</v>
      </c>
      <c r="B34" s="566">
        <f>'Sources and Uses Budget'!C34</f>
        <v>0</v>
      </c>
      <c r="C34" s="567"/>
      <c r="D34" s="567"/>
      <c r="E34" s="566">
        <f>'Sources and Uses Budget'!S34</f>
        <v>0</v>
      </c>
      <c r="F34" s="567">
        <f t="shared" si="4"/>
        <v>0</v>
      </c>
      <c r="G34" s="567"/>
      <c r="H34" s="566">
        <f>'Sources and Uses Budget'!T34</f>
        <v>0</v>
      </c>
      <c r="I34" s="567"/>
      <c r="J34" s="567"/>
      <c r="K34" s="564"/>
    </row>
    <row r="35" spans="1:11" s="565" customFormat="1" ht="11.4">
      <c r="A35" s="215" t="s">
        <v>145</v>
      </c>
      <c r="B35" s="566">
        <f>'Sources and Uses Budget'!C35</f>
        <v>530971</v>
      </c>
      <c r="C35" s="567"/>
      <c r="D35" s="567"/>
      <c r="E35" s="566">
        <f>'Sources and Uses Budget'!S35</f>
        <v>530971</v>
      </c>
      <c r="F35" s="567">
        <f t="shared" si="4"/>
        <v>0</v>
      </c>
      <c r="G35" s="567"/>
      <c r="H35" s="566">
        <f>'Sources and Uses Budget'!T35</f>
        <v>0</v>
      </c>
      <c r="I35" s="567"/>
      <c r="J35" s="567"/>
      <c r="K35" s="564"/>
    </row>
    <row r="36" spans="1:11" s="565" customFormat="1" ht="11.4">
      <c r="A36" s="860" t="s">
        <v>2009</v>
      </c>
      <c r="B36" s="566">
        <f>'Sources and Uses Budget'!C36</f>
        <v>0</v>
      </c>
      <c r="C36" s="567"/>
      <c r="D36" s="567"/>
      <c r="E36" s="566">
        <f>'Sources and Uses Budget'!S36</f>
        <v>0</v>
      </c>
      <c r="F36" s="567">
        <f t="shared" si="4"/>
        <v>0</v>
      </c>
      <c r="G36" s="567"/>
      <c r="H36" s="566">
        <f>'Sources and Uses Budget'!T36</f>
        <v>0</v>
      </c>
      <c r="I36" s="567"/>
      <c r="J36" s="567"/>
      <c r="K36" s="564"/>
    </row>
    <row r="37" spans="1:11" s="565" customFormat="1" ht="11.4">
      <c r="A37" s="572" t="str">
        <f>'Sources and Uses Budget'!$A37</f>
        <v>Other: (Payment &amp; Performance bonds)</v>
      </c>
      <c r="B37" s="566">
        <f>'Sources and Uses Budget'!C37</f>
        <v>707962</v>
      </c>
      <c r="C37" s="567"/>
      <c r="D37" s="567"/>
      <c r="E37" s="566">
        <f>'Sources and Uses Budget'!S37</f>
        <v>707962</v>
      </c>
      <c r="F37" s="567">
        <f t="shared" si="4"/>
        <v>0</v>
      </c>
      <c r="G37" s="567"/>
      <c r="H37" s="566">
        <f>'Sources and Uses Budget'!T37</f>
        <v>0</v>
      </c>
      <c r="I37" s="567"/>
      <c r="J37" s="567"/>
      <c r="K37" s="564"/>
    </row>
    <row r="38" spans="1:11" s="565" customFormat="1">
      <c r="A38" s="574" t="s">
        <v>148</v>
      </c>
      <c r="B38" s="566">
        <f>'Sources and Uses Budget'!C38</f>
        <v>36487028</v>
      </c>
      <c r="C38" s="566"/>
      <c r="D38" s="566">
        <f>SUM(D29:D37)</f>
        <v>0</v>
      </c>
      <c r="E38" s="566">
        <f>'Sources and Uses Budget'!S38</f>
        <v>36487028</v>
      </c>
      <c r="F38" s="573">
        <f>SUM(F29:F37)</f>
        <v>0</v>
      </c>
      <c r="G38" s="573">
        <f>SUM(G29:G37)</f>
        <v>0</v>
      </c>
      <c r="H38" s="566">
        <f>'Sources and Uses Budget'!T38</f>
        <v>0</v>
      </c>
      <c r="I38" s="573"/>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940000</v>
      </c>
      <c r="C40" s="567"/>
      <c r="D40" s="567"/>
      <c r="E40" s="566">
        <f>'Sources and Uses Budget'!S40</f>
        <v>940000</v>
      </c>
      <c r="F40" s="567">
        <f t="shared" ref="F40:F41" si="5">C40</f>
        <v>0</v>
      </c>
      <c r="G40" s="567"/>
      <c r="H40" s="566">
        <f>'Sources and Uses Budget'!T40</f>
        <v>0</v>
      </c>
      <c r="I40" s="567"/>
      <c r="J40" s="567"/>
      <c r="K40" s="564"/>
    </row>
    <row r="41" spans="1:11" s="565" customFormat="1" ht="11.4">
      <c r="A41" s="569" t="s">
        <v>151</v>
      </c>
      <c r="B41" s="566">
        <f>'Sources and Uses Budget'!C41</f>
        <v>0</v>
      </c>
      <c r="C41" s="567"/>
      <c r="D41" s="567"/>
      <c r="E41" s="566">
        <f>'Sources and Uses Budget'!S41</f>
        <v>0</v>
      </c>
      <c r="F41" s="567">
        <f t="shared" si="5"/>
        <v>0</v>
      </c>
      <c r="G41" s="567"/>
      <c r="H41" s="566">
        <f>'Sources and Uses Budget'!T41</f>
        <v>0</v>
      </c>
      <c r="I41" s="567"/>
      <c r="J41" s="567"/>
      <c r="K41" s="564"/>
    </row>
    <row r="42" spans="1:11" s="565" customFormat="1">
      <c r="A42" s="570" t="s">
        <v>152</v>
      </c>
      <c r="B42" s="566">
        <f>'Sources and Uses Budget'!C42</f>
        <v>940000</v>
      </c>
      <c r="C42" s="566"/>
      <c r="D42" s="566">
        <f>SUM(D39:D41)</f>
        <v>0</v>
      </c>
      <c r="E42" s="566">
        <f>'Sources and Uses Budget'!S42</f>
        <v>940000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500000</v>
      </c>
      <c r="C43" s="567"/>
      <c r="D43" s="567"/>
      <c r="E43" s="566">
        <f>'Sources and Uses Budget'!S43</f>
        <v>500000</v>
      </c>
      <c r="F43" s="567">
        <f>C43</f>
        <v>0</v>
      </c>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2650665.3333333335</v>
      </c>
      <c r="C45" s="567"/>
      <c r="D45" s="567"/>
      <c r="E45" s="566">
        <f>'Sources and Uses Budget'!S45</f>
        <v>1731717</v>
      </c>
      <c r="F45" s="567">
        <f t="shared" ref="F45:F53" si="6">C45</f>
        <v>0</v>
      </c>
      <c r="G45" s="567"/>
      <c r="H45" s="566">
        <f>'Sources and Uses Budget'!T45</f>
        <v>0</v>
      </c>
      <c r="I45" s="567"/>
      <c r="J45" s="567"/>
      <c r="K45" s="564"/>
    </row>
    <row r="46" spans="1:11" s="565" customFormat="1" ht="11.4">
      <c r="A46" s="569" t="s">
        <v>156</v>
      </c>
      <c r="B46" s="566">
        <f>'Sources and Uses Budget'!C46</f>
        <v>524218</v>
      </c>
      <c r="C46" s="567"/>
      <c r="D46" s="567"/>
      <c r="E46" s="566">
        <f>'Sources and Uses Budget'!S46</f>
        <v>449330</v>
      </c>
      <c r="F46" s="567">
        <f t="shared" si="6"/>
        <v>0</v>
      </c>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f t="shared" si="6"/>
        <v>0</v>
      </c>
      <c r="G47" s="567"/>
      <c r="H47" s="566">
        <f>'Sources and Uses Budget'!T47</f>
        <v>0</v>
      </c>
      <c r="I47" s="567"/>
      <c r="J47" s="567"/>
      <c r="K47" s="564"/>
    </row>
    <row r="48" spans="1:11" s="565" customFormat="1" ht="11.4">
      <c r="A48" s="569" t="s">
        <v>158</v>
      </c>
      <c r="B48" s="566">
        <f>'Sources and Uses Budget'!C48</f>
        <v>0</v>
      </c>
      <c r="C48" s="567"/>
      <c r="D48" s="567"/>
      <c r="E48" s="566">
        <f>'Sources and Uses Budget'!S48</f>
        <v>0</v>
      </c>
      <c r="F48" s="567">
        <f t="shared" si="6"/>
        <v>0</v>
      </c>
      <c r="G48" s="567"/>
      <c r="H48" s="566">
        <f>'Sources and Uses Budget'!T48</f>
        <v>0</v>
      </c>
      <c r="I48" s="567"/>
      <c r="J48" s="567"/>
      <c r="K48" s="564"/>
    </row>
    <row r="49" spans="1:11" s="565" customFormat="1" ht="11.4">
      <c r="A49" s="441" t="s">
        <v>60</v>
      </c>
      <c r="B49" s="566">
        <f>'Sources and Uses Budget'!C49</f>
        <v>0</v>
      </c>
      <c r="C49" s="567"/>
      <c r="D49" s="567"/>
      <c r="E49" s="566">
        <f>'Sources and Uses Budget'!S49</f>
        <v>0</v>
      </c>
      <c r="F49" s="567">
        <f t="shared" si="6"/>
        <v>0</v>
      </c>
      <c r="G49" s="567"/>
      <c r="H49" s="566">
        <f>'Sources and Uses Budget'!T49</f>
        <v>0</v>
      </c>
      <c r="I49" s="567"/>
      <c r="J49" s="567"/>
      <c r="K49" s="564"/>
    </row>
    <row r="50" spans="1:11" s="565" customFormat="1" ht="11.4">
      <c r="A50" s="569" t="s">
        <v>161</v>
      </c>
      <c r="B50" s="566">
        <f>'Sources and Uses Budget'!C50</f>
        <v>50000</v>
      </c>
      <c r="C50" s="567"/>
      <c r="D50" s="567"/>
      <c r="E50" s="566">
        <f>'Sources and Uses Budget'!S50</f>
        <v>42857</v>
      </c>
      <c r="F50" s="567">
        <f t="shared" si="6"/>
        <v>0</v>
      </c>
      <c r="G50" s="567"/>
      <c r="H50" s="566">
        <f>'Sources and Uses Budget'!T50</f>
        <v>0</v>
      </c>
      <c r="I50" s="567"/>
      <c r="J50" s="567"/>
      <c r="K50" s="564"/>
    </row>
    <row r="51" spans="1:11" s="565" customFormat="1" ht="11.4">
      <c r="A51" s="569" t="s">
        <v>159</v>
      </c>
      <c r="B51" s="566">
        <f>'Sources and Uses Budget'!C51</f>
        <v>60000</v>
      </c>
      <c r="C51" s="567"/>
      <c r="D51" s="567"/>
      <c r="E51" s="566">
        <f>'Sources and Uses Budget'!S51</f>
        <v>60000</v>
      </c>
      <c r="F51" s="567">
        <f t="shared" si="6"/>
        <v>0</v>
      </c>
      <c r="G51" s="567"/>
      <c r="H51" s="566">
        <f>'Sources and Uses Budget'!T51</f>
        <v>0</v>
      </c>
      <c r="I51" s="567"/>
      <c r="J51" s="567"/>
      <c r="K51" s="564"/>
    </row>
    <row r="52" spans="1:11" s="565" customFormat="1" ht="11.4">
      <c r="A52" s="569" t="s">
        <v>160</v>
      </c>
      <c r="B52" s="566">
        <f>'Sources and Uses Budget'!C52</f>
        <v>286098</v>
      </c>
      <c r="C52" s="567"/>
      <c r="D52" s="567"/>
      <c r="E52" s="566">
        <f>'Sources and Uses Budget'!S52</f>
        <v>286098</v>
      </c>
      <c r="F52" s="567">
        <f t="shared" si="6"/>
        <v>0</v>
      </c>
      <c r="G52" s="567"/>
      <c r="H52" s="566">
        <f>'Sources and Uses Budget'!T52</f>
        <v>0</v>
      </c>
      <c r="I52" s="567"/>
      <c r="J52" s="567"/>
      <c r="K52" s="564"/>
    </row>
    <row r="53" spans="1:11" s="565" customFormat="1" ht="11.4">
      <c r="A53" s="572" t="str">
        <f>'Sources and Uses Budget'!$A53</f>
        <v>Other: (Lender inspection Fee)</v>
      </c>
      <c r="B53" s="566">
        <f>'Sources and Uses Budget'!C53</f>
        <v>45000</v>
      </c>
      <c r="C53" s="567"/>
      <c r="D53" s="567"/>
      <c r="E53" s="566">
        <f>'Sources and Uses Budget'!S53</f>
        <v>38571</v>
      </c>
      <c r="F53" s="567">
        <f t="shared" si="6"/>
        <v>0</v>
      </c>
      <c r="G53" s="567"/>
      <c r="H53" s="566">
        <f>'Sources and Uses Budget'!T53</f>
        <v>0</v>
      </c>
      <c r="I53" s="567"/>
      <c r="J53" s="567"/>
      <c r="K53" s="564"/>
    </row>
    <row r="54" spans="1:11" s="576" customFormat="1">
      <c r="A54" s="570" t="s">
        <v>162</v>
      </c>
      <c r="B54" s="566">
        <f>'Sources and Uses Budget'!C54</f>
        <v>3615981.3333333335</v>
      </c>
      <c r="C54" s="573"/>
      <c r="D54" s="573">
        <f>SUM(D45:D53)</f>
        <v>0</v>
      </c>
      <c r="E54" s="566">
        <f>'Sources and Uses Budget'!S54</f>
        <v>2608573</v>
      </c>
      <c r="F54" s="573">
        <f>SUM(F45:F53)</f>
        <v>0</v>
      </c>
      <c r="G54" s="573">
        <f>SUM(G45:G53)</f>
        <v>0</v>
      </c>
      <c r="H54" s="566">
        <f>'Sources and Uses Budget'!T54</f>
        <v>0</v>
      </c>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10000</v>
      </c>
      <c r="C58" s="567"/>
      <c r="D58" s="567"/>
      <c r="E58" s="568"/>
      <c r="F58" s="568"/>
      <c r="G58" s="568"/>
      <c r="H58" s="568"/>
      <c r="I58" s="568"/>
      <c r="J58" s="568"/>
      <c r="K58" s="564"/>
    </row>
    <row r="59" spans="1:11" s="565" customFormat="1" ht="11.4">
      <c r="A59" s="569" t="s">
        <v>159</v>
      </c>
      <c r="B59" s="566">
        <f>'Sources and Uses Budget'!C59</f>
        <v>0</v>
      </c>
      <c r="C59" s="567"/>
      <c r="D59" s="567"/>
      <c r="E59" s="568"/>
      <c r="F59" s="568"/>
      <c r="G59" s="568"/>
      <c r="H59" s="568"/>
      <c r="I59" s="568"/>
      <c r="J59" s="568"/>
      <c r="K59" s="564"/>
    </row>
    <row r="60" spans="1:11" s="565" customFormat="1" ht="11.4">
      <c r="A60" s="569" t="s">
        <v>160</v>
      </c>
      <c r="B60" s="566">
        <f>'Sources and Uses Budget'!C60</f>
        <v>0</v>
      </c>
      <c r="C60" s="567"/>
      <c r="D60" s="567"/>
      <c r="E60" s="568"/>
      <c r="F60" s="568"/>
      <c r="G60" s="568"/>
      <c r="H60" s="568"/>
      <c r="I60" s="568"/>
      <c r="J60" s="568"/>
      <c r="K60" s="564"/>
    </row>
    <row r="61" spans="1:11" s="565" customFormat="1" ht="11.4">
      <c r="A61" s="572" t="str">
        <f>'Sources and Uses Budget'!$A61</f>
        <v>Other: (Issuer Fee+0ther)</v>
      </c>
      <c r="B61" s="566">
        <f>'Sources and Uses Budget'!C61</f>
        <v>206582</v>
      </c>
      <c r="C61" s="567"/>
      <c r="D61" s="567"/>
      <c r="E61" s="568"/>
      <c r="F61" s="568"/>
      <c r="G61" s="568"/>
      <c r="H61" s="568"/>
      <c r="I61" s="568"/>
      <c r="J61" s="568"/>
      <c r="K61" s="564"/>
    </row>
    <row r="62" spans="1:11" s="565" customFormat="1" ht="13.65" customHeight="1">
      <c r="A62" s="570" t="s">
        <v>311</v>
      </c>
      <c r="B62" s="566">
        <f>'Sources and Uses Budget'!C62</f>
        <v>216582</v>
      </c>
      <c r="C62" s="566"/>
      <c r="D62" s="566">
        <f>SUM(D56:D61)</f>
        <v>0</v>
      </c>
      <c r="E62" s="568"/>
      <c r="F62" s="568"/>
      <c r="G62" s="568"/>
      <c r="H62" s="568"/>
      <c r="I62" s="568"/>
      <c r="J62" s="568"/>
      <c r="K62" s="564"/>
    </row>
    <row r="63" spans="1:11" s="565" customFormat="1" ht="11.4">
      <c r="A63" s="577" t="s">
        <v>312</v>
      </c>
      <c r="B63" s="566">
        <f>'Sources and Uses Budget'!C63</f>
        <v>46164028.333333336</v>
      </c>
      <c r="C63" s="566"/>
      <c r="D63" s="566">
        <f>SUM(D8+D11+D13+D14+D15+D26+D27+D38+D42+D43+D54+D62)</f>
        <v>0</v>
      </c>
      <c r="E63" s="566">
        <f>'Sources and Uses Budget'!S63</f>
        <v>40685601</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2013</v>
      </c>
      <c r="B64" s="563"/>
      <c r="C64" s="563"/>
      <c r="D64" s="563"/>
      <c r="E64" s="563"/>
      <c r="F64" s="563"/>
      <c r="G64" s="563"/>
      <c r="H64" s="563"/>
      <c r="I64" s="563"/>
      <c r="J64" s="563"/>
      <c r="K64" s="564"/>
    </row>
    <row r="65" spans="1:11" s="565" customFormat="1" ht="11.4">
      <c r="A65" s="215" t="s">
        <v>176</v>
      </c>
      <c r="B65" s="566">
        <f>'Sources and Uses Budget'!C65</f>
        <v>332500</v>
      </c>
      <c r="C65" s="567"/>
      <c r="D65" s="567"/>
      <c r="E65" s="566">
        <f>'Sources and Uses Budget'!S65</f>
        <v>225000</v>
      </c>
      <c r="F65" s="567">
        <f t="shared" ref="F65:F69" si="7">C65</f>
        <v>0</v>
      </c>
      <c r="G65" s="567"/>
      <c r="H65" s="566">
        <f>'Sources and Uses Budget'!T65</f>
        <v>0</v>
      </c>
      <c r="I65" s="567"/>
      <c r="J65" s="567"/>
      <c r="K65" s="564"/>
    </row>
    <row r="66" spans="1:11" s="565" customFormat="1" ht="22.8">
      <c r="A66" s="441" t="s">
        <v>2010</v>
      </c>
      <c r="B66" s="566">
        <f>'Sources and Uses Budget'!C66</f>
        <v>0</v>
      </c>
      <c r="C66" s="567"/>
      <c r="D66" s="567"/>
      <c r="E66" s="566">
        <f>'Sources and Uses Budget'!S66</f>
        <v>0</v>
      </c>
      <c r="F66" s="567">
        <f t="shared" si="7"/>
        <v>0</v>
      </c>
      <c r="G66" s="567"/>
      <c r="H66" s="566">
        <f>'Sources and Uses Budget'!T66</f>
        <v>0</v>
      </c>
      <c r="I66" s="567"/>
      <c r="J66" s="567"/>
      <c r="K66" s="564"/>
    </row>
    <row r="67" spans="1:11" s="565" customFormat="1" ht="22.8">
      <c r="A67" s="441" t="s">
        <v>2011</v>
      </c>
      <c r="B67" s="566">
        <f>'Sources and Uses Budget'!C67</f>
        <v>0</v>
      </c>
      <c r="C67" s="567"/>
      <c r="D67" s="567"/>
      <c r="E67" s="566">
        <f>'Sources and Uses Budget'!S67</f>
        <v>0</v>
      </c>
      <c r="F67" s="567">
        <f t="shared" si="7"/>
        <v>0</v>
      </c>
      <c r="G67" s="567"/>
      <c r="H67" s="566">
        <f>'Sources and Uses Budget'!T67</f>
        <v>0</v>
      </c>
      <c r="I67" s="567"/>
      <c r="J67" s="567"/>
      <c r="K67" s="564"/>
    </row>
    <row r="68" spans="1:11" s="565" customFormat="1" ht="11.4">
      <c r="A68" s="441" t="s">
        <v>2017</v>
      </c>
      <c r="B68" s="566">
        <f>'Sources and Uses Budget'!C68</f>
        <v>0</v>
      </c>
      <c r="C68" s="567"/>
      <c r="D68" s="567"/>
      <c r="E68" s="566">
        <f>'Sources and Uses Budget'!S68</f>
        <v>0</v>
      </c>
      <c r="F68" s="567">
        <f t="shared" si="7"/>
        <v>0</v>
      </c>
      <c r="G68" s="567"/>
      <c r="H68" s="566">
        <f>'Sources and Uses Budget'!T68</f>
        <v>0</v>
      </c>
      <c r="I68" s="567"/>
      <c r="J68" s="567"/>
      <c r="K68" s="564"/>
    </row>
    <row r="69" spans="1:11" s="565" customFormat="1" ht="11.4">
      <c r="A69" s="572" t="str">
        <f>'Sources and Uses Budget'!$A69</f>
        <v>Other: (Specify)</v>
      </c>
      <c r="B69" s="566">
        <f>'Sources and Uses Budget'!C69</f>
        <v>0</v>
      </c>
      <c r="C69" s="567"/>
      <c r="D69" s="567"/>
      <c r="E69" s="566">
        <f>'Sources and Uses Budget'!S69</f>
        <v>0</v>
      </c>
      <c r="F69" s="567">
        <f t="shared" si="7"/>
        <v>0</v>
      </c>
      <c r="G69" s="567"/>
      <c r="H69" s="566">
        <f>'Sources and Uses Budget'!T69</f>
        <v>0</v>
      </c>
      <c r="I69" s="567"/>
      <c r="J69" s="567"/>
      <c r="K69" s="564"/>
    </row>
    <row r="70" spans="1:11" s="565" customFormat="1">
      <c r="A70" s="570" t="s">
        <v>637</v>
      </c>
      <c r="B70" s="566">
        <f>'Sources and Uses Budget'!C70</f>
        <v>332500</v>
      </c>
      <c r="C70" s="566"/>
      <c r="D70" s="566">
        <f>SUM(D64:D69)</f>
        <v>0</v>
      </c>
      <c r="E70" s="566">
        <f>'Sources and Uses Budget'!S70</f>
        <v>225000</v>
      </c>
      <c r="F70" s="573">
        <f>SUM(F65:F69)</f>
        <v>0</v>
      </c>
      <c r="G70" s="573">
        <f>SUM(G65:G69)</f>
        <v>0</v>
      </c>
      <c r="H70" s="566">
        <f>'Sources and Uses Budget'!T70</f>
        <v>0</v>
      </c>
      <c r="I70" s="573">
        <f>SUM(I65:I69)</f>
        <v>0</v>
      </c>
      <c r="J70" s="573">
        <f>SUM(J65:J69)</f>
        <v>0</v>
      </c>
      <c r="K70" s="564"/>
    </row>
    <row r="71" spans="1:11" s="565" customFormat="1" ht="11.4">
      <c r="A71" s="562" t="s">
        <v>638</v>
      </c>
      <c r="B71" s="563"/>
      <c r="C71" s="563"/>
      <c r="D71" s="563"/>
      <c r="E71" s="563"/>
      <c r="F71" s="563"/>
      <c r="G71" s="563"/>
      <c r="H71" s="563"/>
      <c r="I71" s="563"/>
      <c r="J71" s="563"/>
      <c r="K71" s="564"/>
    </row>
    <row r="72" spans="1:11" s="565" customFormat="1" ht="11.4">
      <c r="A72" s="569" t="s">
        <v>639</v>
      </c>
      <c r="B72" s="566">
        <f>'Sources and Uses Budget'!C72</f>
        <v>0</v>
      </c>
      <c r="C72" s="567"/>
      <c r="D72" s="567"/>
      <c r="E72" s="568"/>
      <c r="F72" s="568"/>
      <c r="G72" s="568"/>
      <c r="H72" s="568"/>
      <c r="I72" s="568"/>
      <c r="J72" s="568"/>
      <c r="K72" s="564"/>
    </row>
    <row r="73" spans="1:11" s="565" customFormat="1" ht="11.4">
      <c r="A73" s="569" t="s">
        <v>640</v>
      </c>
      <c r="B73" s="566">
        <f>'Sources and Uses Budget'!C73</f>
        <v>0</v>
      </c>
      <c r="C73" s="567"/>
      <c r="D73" s="567"/>
      <c r="E73" s="568"/>
      <c r="F73" s="568"/>
      <c r="G73" s="568"/>
      <c r="H73" s="568"/>
      <c r="I73" s="568"/>
      <c r="J73" s="568"/>
      <c r="K73" s="564"/>
    </row>
    <row r="74" spans="1:11" s="565" customFormat="1" ht="11.4">
      <c r="A74" s="740" t="s">
        <v>1089</v>
      </c>
      <c r="B74" s="566">
        <f>'Sources and Uses Budget'!C74</f>
        <v>0</v>
      </c>
      <c r="C74" s="567"/>
      <c r="D74" s="567"/>
      <c r="E74" s="568"/>
      <c r="F74" s="568"/>
      <c r="G74" s="568"/>
      <c r="H74" s="568"/>
      <c r="I74" s="568"/>
      <c r="J74" s="568"/>
      <c r="K74" s="564"/>
    </row>
    <row r="75" spans="1:11" s="565" customFormat="1" ht="11.4">
      <c r="A75" s="569" t="s">
        <v>641</v>
      </c>
      <c r="B75" s="566">
        <f>'Sources and Uses Budget'!C75</f>
        <v>717672</v>
      </c>
      <c r="C75" s="567"/>
      <c r="D75" s="567"/>
      <c r="E75" s="568"/>
      <c r="F75" s="568"/>
      <c r="G75" s="568"/>
      <c r="H75" s="568"/>
      <c r="I75" s="568"/>
      <c r="J75" s="568"/>
      <c r="K75" s="564"/>
    </row>
    <row r="76" spans="1:11" s="565" customFormat="1" ht="11.4">
      <c r="A76" s="572" t="str">
        <f>'Sources and Uses Budget'!$A76</f>
        <v>Other: Replacement Reserve</v>
      </c>
      <c r="B76" s="566">
        <f>'Sources and Uses Budget'!C76</f>
        <v>33500</v>
      </c>
      <c r="C76" s="567"/>
      <c r="D76" s="567"/>
      <c r="E76" s="568"/>
      <c r="F76" s="568"/>
      <c r="G76" s="568"/>
      <c r="H76" s="568"/>
      <c r="I76" s="568"/>
      <c r="J76" s="568"/>
      <c r="K76" s="564"/>
    </row>
    <row r="77" spans="1:11" s="565" customFormat="1">
      <c r="A77" s="570" t="s">
        <v>642</v>
      </c>
      <c r="B77" s="566">
        <f>'Sources and Uses Budget'!C77</f>
        <v>751172</v>
      </c>
      <c r="C77" s="566"/>
      <c r="D77" s="566">
        <f>SUM(D72:D76)</f>
        <v>0</v>
      </c>
      <c r="E77" s="568"/>
      <c r="F77" s="568"/>
      <c r="G77" s="568"/>
      <c r="H77" s="568"/>
      <c r="I77" s="568"/>
      <c r="J77" s="568"/>
      <c r="K77" s="564"/>
    </row>
    <row r="78" spans="1:11" s="565" customFormat="1" ht="11.4">
      <c r="A78" s="562" t="s">
        <v>1427</v>
      </c>
      <c r="B78" s="563"/>
      <c r="C78" s="563"/>
      <c r="D78" s="563"/>
      <c r="E78" s="563"/>
      <c r="F78" s="563"/>
      <c r="G78" s="563"/>
      <c r="H78" s="563"/>
      <c r="I78" s="563"/>
      <c r="J78" s="563"/>
      <c r="K78" s="564"/>
    </row>
    <row r="79" spans="1:11" s="565" customFormat="1" ht="11.4">
      <c r="A79" s="569" t="s">
        <v>1429</v>
      </c>
      <c r="B79" s="566">
        <f>'Sources and Uses Budget'!C79</f>
        <v>1831851</v>
      </c>
      <c r="C79" s="567"/>
      <c r="D79" s="567"/>
      <c r="E79" s="566">
        <f>'Sources and Uses Budget'!S79</f>
        <v>1831851</v>
      </c>
      <c r="F79" s="567">
        <f t="shared" ref="F79:F80" si="8">C79</f>
        <v>0</v>
      </c>
      <c r="G79" s="567"/>
      <c r="H79" s="566">
        <f>'Sources and Uses Budget'!T79</f>
        <v>0</v>
      </c>
      <c r="I79" s="567"/>
      <c r="J79" s="567"/>
      <c r="K79" s="564"/>
    </row>
    <row r="80" spans="1:11" s="565" customFormat="1" ht="11.4">
      <c r="A80" s="569" t="s">
        <v>61</v>
      </c>
      <c r="B80" s="566">
        <f>'Sources and Uses Budget'!C80</f>
        <v>572122</v>
      </c>
      <c r="C80" s="567"/>
      <c r="D80" s="567"/>
      <c r="E80" s="566">
        <f>'Sources and Uses Budget'!S80</f>
        <v>572122</v>
      </c>
      <c r="F80" s="567">
        <f t="shared" si="8"/>
        <v>0</v>
      </c>
      <c r="G80" s="567"/>
      <c r="H80" s="566">
        <f>'Sources and Uses Budget'!T80</f>
        <v>0</v>
      </c>
      <c r="I80" s="567"/>
      <c r="J80" s="567"/>
      <c r="K80" s="564"/>
    </row>
    <row r="81" spans="1:11" s="565" customFormat="1">
      <c r="A81" s="570" t="s">
        <v>1426</v>
      </c>
      <c r="B81" s="566">
        <f>'Sources and Uses Budget'!C81</f>
        <v>2403973</v>
      </c>
      <c r="C81" s="566"/>
      <c r="D81" s="566">
        <f>SUM(D79:D80)</f>
        <v>0</v>
      </c>
      <c r="E81" s="566">
        <f>'Sources and Uses Budget'!S81</f>
        <v>2403973</v>
      </c>
      <c r="F81" s="566">
        <f>SUM(F79:F80)</f>
        <v>0</v>
      </c>
      <c r="G81" s="566">
        <f>SUM(G79:G80)</f>
        <v>0</v>
      </c>
      <c r="H81" s="566">
        <f>'Sources and Uses Budget'!T81</f>
        <v>0</v>
      </c>
      <c r="I81" s="566">
        <f>SUM(I79:I80)</f>
        <v>0</v>
      </c>
      <c r="J81" s="566">
        <f>SUM(J79:J80)</f>
        <v>0</v>
      </c>
      <c r="K81" s="564"/>
    </row>
    <row r="82" spans="1:11" s="565" customFormat="1" ht="11.4">
      <c r="A82" s="562" t="s">
        <v>826</v>
      </c>
      <c r="B82" s="563"/>
      <c r="C82" s="563"/>
      <c r="D82" s="563"/>
      <c r="E82" s="563"/>
      <c r="F82" s="563"/>
      <c r="G82" s="563"/>
      <c r="H82" s="563"/>
      <c r="I82" s="563"/>
      <c r="J82" s="563"/>
      <c r="K82" s="564"/>
    </row>
    <row r="83" spans="1:11" s="565" customFormat="1" ht="13.65" customHeight="1">
      <c r="A83" s="215" t="s">
        <v>827</v>
      </c>
      <c r="B83" s="566">
        <f>'Sources and Uses Budget'!C83</f>
        <v>86396</v>
      </c>
      <c r="C83" s="567"/>
      <c r="D83" s="567"/>
      <c r="E83" s="568"/>
      <c r="F83" s="568"/>
      <c r="G83" s="568"/>
      <c r="H83" s="568"/>
      <c r="I83" s="568"/>
      <c r="J83" s="568"/>
      <c r="K83" s="564"/>
    </row>
    <row r="84" spans="1:11" s="565" customFormat="1" ht="11.4">
      <c r="A84" s="215" t="s">
        <v>828</v>
      </c>
      <c r="B84" s="566">
        <f>'Sources and Uses Budget'!C84</f>
        <v>45000</v>
      </c>
      <c r="C84" s="567"/>
      <c r="D84" s="567"/>
      <c r="E84" s="566">
        <f>'Sources and Uses Budget'!S84</f>
        <v>45000</v>
      </c>
      <c r="F84" s="567">
        <f t="shared" ref="F84:F87" si="9">C84</f>
        <v>0</v>
      </c>
      <c r="G84" s="567"/>
      <c r="H84" s="566">
        <f>'Sources and Uses Budget'!T84</f>
        <v>0</v>
      </c>
      <c r="I84" s="567"/>
      <c r="J84" s="567"/>
      <c r="K84" s="564"/>
    </row>
    <row r="85" spans="1:11" s="565" customFormat="1" ht="11.4">
      <c r="A85" s="215" t="s">
        <v>829</v>
      </c>
      <c r="B85" s="566">
        <f>'Sources and Uses Budget'!C85</f>
        <v>5746512</v>
      </c>
      <c r="C85" s="567"/>
      <c r="D85" s="567"/>
      <c r="E85" s="566">
        <f>'Sources and Uses Budget'!S85</f>
        <v>5746512</v>
      </c>
      <c r="F85" s="567">
        <f t="shared" si="9"/>
        <v>0</v>
      </c>
      <c r="G85" s="567"/>
      <c r="H85" s="566">
        <f>'Sources and Uses Budget'!T85</f>
        <v>0</v>
      </c>
      <c r="I85" s="567"/>
      <c r="J85" s="567"/>
      <c r="K85" s="564"/>
    </row>
    <row r="86" spans="1:11" s="565" customFormat="1" ht="11.4">
      <c r="A86" s="215" t="s">
        <v>830</v>
      </c>
      <c r="B86" s="566">
        <f>'Sources and Uses Budget'!C86</f>
        <v>335000</v>
      </c>
      <c r="C86" s="567"/>
      <c r="D86" s="567"/>
      <c r="E86" s="566">
        <f>'Sources and Uses Budget'!S86</f>
        <v>335000</v>
      </c>
      <c r="F86" s="567">
        <f t="shared" si="9"/>
        <v>0</v>
      </c>
      <c r="G86" s="567"/>
      <c r="H86" s="566">
        <f>'Sources and Uses Budget'!T86</f>
        <v>0</v>
      </c>
      <c r="I86" s="567"/>
      <c r="J86" s="567"/>
      <c r="K86" s="564"/>
    </row>
    <row r="87" spans="1:11" s="565" customFormat="1" ht="11.4">
      <c r="A87" s="215" t="s">
        <v>831</v>
      </c>
      <c r="B87" s="566">
        <f>'Sources and Uses Budget'!C87</f>
        <v>0</v>
      </c>
      <c r="C87" s="567"/>
      <c r="D87" s="567"/>
      <c r="E87" s="566">
        <f>'Sources and Uses Budget'!S87</f>
        <v>0</v>
      </c>
      <c r="F87" s="567">
        <f t="shared" si="9"/>
        <v>0</v>
      </c>
      <c r="G87" s="567"/>
      <c r="H87" s="566">
        <f>'Sources and Uses Budget'!T87</f>
        <v>0</v>
      </c>
      <c r="I87" s="567"/>
      <c r="J87" s="567"/>
      <c r="K87" s="564"/>
    </row>
    <row r="88" spans="1:11" s="565" customFormat="1" ht="11.4">
      <c r="A88" s="215" t="s">
        <v>832</v>
      </c>
      <c r="B88" s="566">
        <f>'Sources and Uses Budget'!C88</f>
        <v>38000</v>
      </c>
      <c r="C88" s="567"/>
      <c r="D88" s="567"/>
      <c r="E88" s="568"/>
      <c r="F88" s="568"/>
      <c r="G88" s="568"/>
      <c r="H88" s="568"/>
      <c r="I88" s="568"/>
      <c r="J88" s="568"/>
      <c r="K88" s="564"/>
    </row>
    <row r="89" spans="1:11" s="565" customFormat="1" ht="11.4">
      <c r="A89" s="215" t="s">
        <v>833</v>
      </c>
      <c r="B89" s="566">
        <f>'Sources and Uses Budget'!C89</f>
        <v>25000</v>
      </c>
      <c r="C89" s="567"/>
      <c r="D89" s="567"/>
      <c r="E89" s="566">
        <f>'Sources and Uses Budget'!S89</f>
        <v>25000</v>
      </c>
      <c r="F89" s="567">
        <f t="shared" ref="F89:F95" si="10">C89</f>
        <v>0</v>
      </c>
      <c r="G89" s="567"/>
      <c r="H89" s="566">
        <f>'Sources and Uses Budget'!T89</f>
        <v>0</v>
      </c>
      <c r="I89" s="567"/>
      <c r="J89" s="567"/>
      <c r="K89" s="564"/>
    </row>
    <row r="90" spans="1:11" s="565" customFormat="1" ht="11.4">
      <c r="A90" s="215" t="s">
        <v>834</v>
      </c>
      <c r="B90" s="566">
        <f>'Sources and Uses Budget'!C90</f>
        <v>20000</v>
      </c>
      <c r="C90" s="567"/>
      <c r="D90" s="567"/>
      <c r="E90" s="566">
        <f>'Sources and Uses Budget'!S90</f>
        <v>20000</v>
      </c>
      <c r="F90" s="567">
        <f t="shared" si="10"/>
        <v>0</v>
      </c>
      <c r="G90" s="567"/>
      <c r="H90" s="566">
        <f>'Sources and Uses Budget'!T90</f>
        <v>0</v>
      </c>
      <c r="I90" s="567"/>
      <c r="J90" s="567"/>
      <c r="K90" s="564"/>
    </row>
    <row r="91" spans="1:11" s="565" customFormat="1" ht="11.4">
      <c r="A91" s="226" t="s">
        <v>392</v>
      </c>
      <c r="B91" s="566">
        <f>'Sources and Uses Budget'!C91</f>
        <v>132500</v>
      </c>
      <c r="C91" s="567"/>
      <c r="D91" s="567"/>
      <c r="E91" s="566">
        <f>'Sources and Uses Budget'!S91</f>
        <v>132500</v>
      </c>
      <c r="F91" s="567">
        <f t="shared" si="10"/>
        <v>0</v>
      </c>
      <c r="G91" s="567"/>
      <c r="H91" s="566">
        <f>'Sources and Uses Budget'!T91</f>
        <v>0</v>
      </c>
      <c r="I91" s="567"/>
      <c r="J91" s="567"/>
      <c r="K91" s="564"/>
    </row>
    <row r="92" spans="1:11" s="565" customFormat="1" ht="11.4">
      <c r="A92" s="860" t="s">
        <v>1428</v>
      </c>
      <c r="B92" s="566">
        <f>'Sources and Uses Budget'!C92</f>
        <v>15000</v>
      </c>
      <c r="C92" s="567"/>
      <c r="D92" s="567"/>
      <c r="E92" s="566">
        <f>'Sources and Uses Budget'!S92</f>
        <v>15000</v>
      </c>
      <c r="F92" s="567">
        <f t="shared" si="10"/>
        <v>0</v>
      </c>
      <c r="G92" s="567"/>
      <c r="H92" s="566">
        <f>'Sources and Uses Budget'!T92</f>
        <v>0</v>
      </c>
      <c r="I92" s="567"/>
      <c r="J92" s="567"/>
      <c r="K92" s="564"/>
    </row>
    <row r="93" spans="1:11" s="565" customFormat="1" ht="22.8">
      <c r="A93" s="572" t="str">
        <f>'Sources and Uses Budget'!$A93</f>
        <v>Other: (3rd Party Construction Mgmt.+predevelopment loan interest)</v>
      </c>
      <c r="B93" s="566">
        <f>'Sources and Uses Budget'!C93</f>
        <v>245000</v>
      </c>
      <c r="C93" s="567"/>
      <c r="D93" s="567"/>
      <c r="E93" s="566">
        <f>'Sources and Uses Budget'!S93</f>
        <v>245000</v>
      </c>
      <c r="F93" s="567">
        <f t="shared" si="10"/>
        <v>0</v>
      </c>
      <c r="G93" s="567"/>
      <c r="H93" s="566">
        <f>'Sources and Uses Budget'!T93</f>
        <v>0</v>
      </c>
      <c r="I93" s="567"/>
      <c r="J93" s="567"/>
      <c r="K93" s="564"/>
    </row>
    <row r="94" spans="1:11" s="565" customFormat="1" ht="11.4">
      <c r="A94" s="572" t="str">
        <f>'Sources and Uses Budget'!$A94</f>
        <v>Other: Misc Report &amp; Consultant Fees</v>
      </c>
      <c r="B94" s="566">
        <f>'Sources and Uses Budget'!C94</f>
        <v>50002</v>
      </c>
      <c r="C94" s="567"/>
      <c r="D94" s="567"/>
      <c r="E94" s="566">
        <f>'Sources and Uses Budget'!S94</f>
        <v>50002</v>
      </c>
      <c r="F94" s="567">
        <f t="shared" si="10"/>
        <v>0</v>
      </c>
      <c r="G94" s="567"/>
      <c r="H94" s="566">
        <f>'Sources and Uses Budget'!T94</f>
        <v>0</v>
      </c>
      <c r="I94" s="567"/>
      <c r="J94" s="567"/>
      <c r="K94" s="564"/>
    </row>
    <row r="95" spans="1:11" s="565" customFormat="1" ht="11.4">
      <c r="A95" s="572" t="str">
        <f>'Sources and Uses Budget'!$A95</f>
        <v>Other: (Final Cost Audit Expense)</v>
      </c>
      <c r="B95" s="566">
        <f>'Sources and Uses Budget'!C95</f>
        <v>15000</v>
      </c>
      <c r="C95" s="567"/>
      <c r="D95" s="567"/>
      <c r="E95" s="566">
        <f>'Sources and Uses Budget'!S95</f>
        <v>15000</v>
      </c>
      <c r="F95" s="567">
        <f t="shared" si="10"/>
        <v>0</v>
      </c>
      <c r="G95" s="567"/>
      <c r="H95" s="566">
        <f>'Sources and Uses Budget'!T95</f>
        <v>0</v>
      </c>
      <c r="I95" s="567"/>
      <c r="J95" s="567"/>
      <c r="K95" s="564"/>
    </row>
    <row r="96" spans="1:11" s="565" customFormat="1">
      <c r="A96" s="570" t="s">
        <v>835</v>
      </c>
      <c r="B96" s="566">
        <f>'Sources and Uses Budget'!C96</f>
        <v>6753410</v>
      </c>
      <c r="C96" s="566"/>
      <c r="D96" s="566">
        <f>SUM(D83:D95)</f>
        <v>0</v>
      </c>
      <c r="E96" s="566">
        <f>'Sources and Uses Budget'!S96</f>
        <v>6629014</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56405083.333333336</v>
      </c>
      <c r="C97" s="566"/>
      <c r="D97" s="566">
        <f>SUM(D63+D70+D77+D81+D96)</f>
        <v>0</v>
      </c>
      <c r="E97" s="566">
        <f>'Sources and Uses Budget'!S97</f>
        <v>49943588</v>
      </c>
      <c r="F97" s="573">
        <f>SUM(+F63+F70+F81+F96)</f>
        <v>0</v>
      </c>
      <c r="G97" s="573">
        <f>SUM(+G63+G70+G81+G96)</f>
        <v>0</v>
      </c>
      <c r="H97" s="566">
        <f>'Sources and Uses Budget'!T97</f>
        <v>0</v>
      </c>
      <c r="I97" s="573">
        <f>SUM(I63+I70+I81+I96)</f>
        <v>0</v>
      </c>
      <c r="J97" s="573">
        <f>SUM(J63+J70+J81+J96)</f>
        <v>0</v>
      </c>
      <c r="K97" s="564"/>
    </row>
    <row r="98" spans="1:11" s="565" customFormat="1" ht="11.4">
      <c r="A98" s="562" t="s">
        <v>837</v>
      </c>
      <c r="B98" s="563"/>
      <c r="C98" s="563"/>
      <c r="D98" s="563"/>
      <c r="E98" s="563"/>
      <c r="F98" s="563"/>
      <c r="G98" s="563"/>
      <c r="H98" s="563"/>
      <c r="I98" s="563"/>
      <c r="J98" s="563"/>
      <c r="K98" s="564"/>
    </row>
    <row r="99" spans="1:11" s="565" customFormat="1" ht="11.4">
      <c r="A99" s="215" t="s">
        <v>838</v>
      </c>
      <c r="B99" s="566">
        <f>'Sources and Uses Budget'!C99</f>
        <v>7491538</v>
      </c>
      <c r="C99" s="567"/>
      <c r="D99" s="567"/>
      <c r="E99" s="566">
        <f>'Sources and Uses Budget'!S99</f>
        <v>7491538</v>
      </c>
      <c r="F99" s="567">
        <f>C99</f>
        <v>0</v>
      </c>
      <c r="G99" s="567"/>
      <c r="H99" s="566">
        <f>'Sources and Uses Budget'!T99</f>
        <v>0</v>
      </c>
      <c r="I99" s="567"/>
      <c r="J99" s="567"/>
      <c r="K99" s="564"/>
    </row>
    <row r="100" spans="1:11" s="565" customFormat="1" ht="11.4">
      <c r="A100" s="441" t="s">
        <v>2015</v>
      </c>
      <c r="B100" s="566">
        <f>'Sources and Uses Budget'!C100</f>
        <v>0</v>
      </c>
      <c r="C100" s="567"/>
      <c r="D100" s="567"/>
      <c r="E100" s="566">
        <f>'Sources and Uses Budget'!S100</f>
        <v>0</v>
      </c>
      <c r="F100" s="567">
        <f t="shared" ref="F100:F103" si="11">C100</f>
        <v>0</v>
      </c>
      <c r="G100" s="567"/>
      <c r="H100" s="566">
        <f>'Sources and Uses Budget'!T100</f>
        <v>0</v>
      </c>
      <c r="I100" s="567"/>
      <c r="J100" s="567"/>
      <c r="K100" s="564"/>
    </row>
    <row r="101" spans="1:11" s="565" customFormat="1" ht="11.4">
      <c r="A101" s="215" t="s">
        <v>839</v>
      </c>
      <c r="B101" s="566">
        <f>'Sources and Uses Budget'!C101</f>
        <v>0</v>
      </c>
      <c r="C101" s="567"/>
      <c r="D101" s="567"/>
      <c r="E101" s="566">
        <f>'Sources and Uses Budget'!S101</f>
        <v>0</v>
      </c>
      <c r="F101" s="567">
        <f t="shared" si="11"/>
        <v>0</v>
      </c>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f t="shared" si="11"/>
        <v>0</v>
      </c>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f t="shared" si="11"/>
        <v>0</v>
      </c>
      <c r="G103" s="567"/>
      <c r="H103" s="566">
        <f>'Sources and Uses Budget'!T103</f>
        <v>0</v>
      </c>
      <c r="I103" s="567"/>
      <c r="J103" s="567"/>
      <c r="K103" s="564"/>
    </row>
    <row r="104" spans="1:11" s="565" customFormat="1">
      <c r="A104" s="570" t="s">
        <v>840</v>
      </c>
      <c r="B104" s="566">
        <f>'Sources and Uses Budget'!C104</f>
        <v>7491538</v>
      </c>
      <c r="C104" s="566"/>
      <c r="D104" s="566">
        <f>SUM(D99:D103)</f>
        <v>0</v>
      </c>
      <c r="E104" s="566">
        <f>'Sources and Uses Budget'!S104</f>
        <v>7491538</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63896621.333333336</v>
      </c>
      <c r="C105" s="573">
        <f>SUM(C97+C104)</f>
        <v>0</v>
      </c>
      <c r="D105" s="573">
        <f>SUM(D97+D104)</f>
        <v>0</v>
      </c>
      <c r="E105" s="566">
        <f>'Sources and Uses Budget'!S105</f>
        <v>57435126</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57435126</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76"/>
      <c r="E124" s="2577"/>
      <c r="F124" s="2577"/>
      <c r="G124" s="2577"/>
      <c r="H124" s="2577"/>
      <c r="I124" s="2577"/>
      <c r="J124" s="584"/>
      <c r="K124" s="564"/>
    </row>
    <row r="125" spans="1:11" s="565" customFormat="1" ht="13.2">
      <c r="A125" s="595"/>
      <c r="B125" s="594"/>
      <c r="C125" s="595"/>
      <c r="D125" s="2577"/>
      <c r="E125" s="2577"/>
      <c r="F125" s="2577"/>
      <c r="G125" s="2577"/>
      <c r="H125" s="2577"/>
      <c r="I125" s="2577"/>
      <c r="J125" s="584"/>
      <c r="K125" s="564"/>
    </row>
    <row r="126" spans="1:11" s="565" customFormat="1" ht="13.2">
      <c r="A126" s="595"/>
      <c r="B126" s="594"/>
      <c r="C126" s="595"/>
      <c r="D126" s="2577"/>
      <c r="E126" s="2577"/>
      <c r="F126" s="2577"/>
      <c r="G126" s="2577"/>
      <c r="H126" s="2577"/>
      <c r="I126" s="2577"/>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78"/>
      <c r="B139" s="2579"/>
      <c r="C139" s="2579"/>
      <c r="D139" s="607"/>
      <c r="E139" s="595"/>
      <c r="F139" s="595"/>
      <c r="G139" s="595"/>
    </row>
    <row r="140" spans="1:11" ht="12" customHeight="1">
      <c r="A140" s="2580"/>
      <c r="B140" s="2581"/>
      <c r="C140" s="258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 zoomScale="120" zoomScaleNormal="120" workbookViewId="0">
      <selection activeCell="AB14" sqref="AB14"/>
    </sheetView>
  </sheetViews>
  <sheetFormatPr defaultColWidth="2.6640625" defaultRowHeight="15.75" customHeight="1"/>
  <cols>
    <col min="1" max="37" width="2.6640625" style="1528"/>
    <col min="38" max="38" width="3" style="1528" customWidth="1"/>
    <col min="39" max="64" width="2.6640625" style="1528"/>
    <col min="65" max="65" width="6.109375" style="1528" bestFit="1" customWidth="1"/>
    <col min="66" max="70" width="5.5546875" style="1528" bestFit="1" customWidth="1"/>
    <col min="71" max="71" width="6.109375" style="1528" bestFit="1" customWidth="1"/>
    <col min="72" max="76" width="5.5546875" style="1528" bestFit="1" customWidth="1"/>
    <col min="77" max="77" width="6.109375" style="1528" bestFit="1" customWidth="1"/>
    <col min="78" max="78" width="5.5546875" style="1528" bestFit="1" customWidth="1"/>
    <col min="79" max="16384" width="2.6640625" style="1528"/>
  </cols>
  <sheetData>
    <row r="1" spans="1:58" ht="15.75" customHeight="1">
      <c r="A1" s="2585" t="s">
        <v>2048</v>
      </c>
      <c r="B1" s="2586"/>
      <c r="C1" s="2586"/>
      <c r="D1" s="2586"/>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7"/>
    </row>
    <row r="2" spans="1:58" ht="15.75" customHeight="1">
      <c r="A2" s="2588" t="s">
        <v>2049</v>
      </c>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c r="AR2" s="2589"/>
      <c r="AS2" s="2589"/>
      <c r="AT2" s="2589"/>
      <c r="AU2" s="2589"/>
      <c r="AV2" s="2589"/>
      <c r="AW2" s="2589"/>
      <c r="AX2" s="2589"/>
      <c r="AY2" s="2589"/>
      <c r="AZ2" s="2589"/>
      <c r="BA2" s="2589"/>
      <c r="BB2" s="2589"/>
      <c r="BC2" s="2589"/>
      <c r="BD2" s="2589"/>
      <c r="BE2" s="2590"/>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91" t="str">
        <f>IF(Application!H18="","",Application!H18)</f>
        <v>Windsor Residences</v>
      </c>
      <c r="M4" s="2592"/>
      <c r="N4" s="2592"/>
      <c r="O4" s="2592"/>
      <c r="P4" s="2592"/>
      <c r="Q4" s="2592"/>
      <c r="R4" s="2592"/>
      <c r="S4" s="2592"/>
      <c r="T4" s="2592"/>
      <c r="U4" s="2592"/>
      <c r="V4" s="2592"/>
      <c r="W4" s="2592"/>
      <c r="X4" s="2592"/>
      <c r="Y4" s="2592"/>
      <c r="Z4" s="2592"/>
      <c r="AA4" s="2592"/>
      <c r="AB4" s="2592"/>
      <c r="AC4" s="2593"/>
      <c r="AD4" s="1531"/>
      <c r="AE4" s="1531"/>
      <c r="AF4" s="2594" t="s">
        <v>2050</v>
      </c>
      <c r="AG4" s="2595"/>
      <c r="AH4" s="2595"/>
      <c r="AI4" s="2595"/>
      <c r="AJ4" s="2595"/>
      <c r="AK4" s="2595"/>
      <c r="AL4" s="2595"/>
      <c r="AM4" s="2595"/>
      <c r="AN4" s="2595"/>
      <c r="AO4" s="2595"/>
      <c r="AP4" s="2596"/>
      <c r="AQ4" s="2597"/>
      <c r="AR4" s="2597"/>
      <c r="AS4" s="2597"/>
      <c r="AT4" s="2597"/>
      <c r="AU4" s="2598"/>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9" t="s">
        <v>2051</v>
      </c>
      <c r="AG5" s="2600"/>
      <c r="AH5" s="2600"/>
      <c r="AI5" s="2600"/>
      <c r="AJ5" s="2600"/>
      <c r="AK5" s="2600"/>
      <c r="AL5" s="2600"/>
      <c r="AM5" s="2600"/>
      <c r="AN5" s="2600"/>
      <c r="AO5" s="2600"/>
      <c r="AP5" s="2596"/>
      <c r="AQ5" s="2597"/>
      <c r="AR5" s="2597"/>
      <c r="AS5" s="2597"/>
      <c r="AT5" s="2597"/>
      <c r="AU5" s="2598"/>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615" t="str">
        <f>IF(Application!H16="","",Application!H16)</f>
        <v>CRP Windsor Residences LP (to be formed)</v>
      </c>
      <c r="M6" s="2616"/>
      <c r="N6" s="2616"/>
      <c r="O6" s="2616"/>
      <c r="P6" s="2616"/>
      <c r="Q6" s="2616"/>
      <c r="R6" s="2616"/>
      <c r="S6" s="2616"/>
      <c r="T6" s="2616"/>
      <c r="U6" s="2616"/>
      <c r="V6" s="2616"/>
      <c r="W6" s="2616"/>
      <c r="X6" s="2616"/>
      <c r="Y6" s="2616"/>
      <c r="Z6" s="2616"/>
      <c r="AA6" s="2616"/>
      <c r="AB6" s="2616"/>
      <c r="AC6" s="261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8" t="str">
        <f>Application!T196</f>
        <v>No</v>
      </c>
      <c r="AC8" s="2619"/>
      <c r="AD8" s="262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2055</v>
      </c>
      <c r="C10" s="1533"/>
      <c r="D10" s="1533"/>
      <c r="E10" s="1533"/>
      <c r="F10" s="1533"/>
      <c r="G10" s="1533"/>
      <c r="H10" s="1533"/>
      <c r="I10" s="1533"/>
      <c r="J10" s="1533"/>
      <c r="K10" s="1533"/>
      <c r="L10" s="1533"/>
      <c r="M10" s="1531"/>
      <c r="N10" s="2621" t="e">
        <f>VLOOKUP("CalHFA Permanent Loan",Application!C564:AS575,37,TRUE)</f>
        <v>#N/A</v>
      </c>
      <c r="O10" s="2622"/>
      <c r="P10" s="2622"/>
      <c r="Q10" s="2622"/>
      <c r="R10" s="2622"/>
      <c r="S10" s="2622"/>
      <c r="T10" s="2623"/>
      <c r="U10" s="1531"/>
      <c r="V10" s="1531"/>
      <c r="W10" s="1531"/>
      <c r="X10" s="2601" t="s">
        <v>2056</v>
      </c>
      <c r="Y10" s="2602"/>
      <c r="Z10" s="2602"/>
      <c r="AA10" s="2602"/>
      <c r="AB10" s="2602"/>
      <c r="AC10" s="2602"/>
      <c r="AD10" s="2602"/>
      <c r="AE10" s="2602"/>
      <c r="AF10" s="2602"/>
      <c r="AG10" s="2602"/>
      <c r="AH10" s="2602"/>
      <c r="AI10" s="2602"/>
      <c r="AJ10" s="2602"/>
      <c r="AK10" s="2603"/>
      <c r="AL10" s="2607">
        <f>Application!W471</f>
        <v>0</v>
      </c>
      <c r="AM10" s="2608"/>
      <c r="AN10" s="2608"/>
      <c r="AO10" s="2608"/>
      <c r="AP10" s="2609"/>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2057</v>
      </c>
      <c r="C11" s="1533"/>
      <c r="D11" s="1533"/>
      <c r="E11" s="1533"/>
      <c r="F11" s="1533"/>
      <c r="G11" s="1533"/>
      <c r="H11" s="1533"/>
      <c r="I11" s="1533"/>
      <c r="J11" s="1533"/>
      <c r="K11" s="1533"/>
      <c r="L11" s="1533"/>
      <c r="M11" s="1531"/>
      <c r="N11" s="2624">
        <f>Application!AA925</f>
        <v>0</v>
      </c>
      <c r="O11" s="2625"/>
      <c r="P11" s="2625"/>
      <c r="Q11" s="2625"/>
      <c r="R11" s="2625"/>
      <c r="S11" s="2625"/>
      <c r="T11" s="2626"/>
      <c r="U11" s="1531"/>
      <c r="V11" s="1531"/>
      <c r="W11" s="1531"/>
      <c r="X11" s="2627" t="s">
        <v>2058</v>
      </c>
      <c r="Y11" s="2628"/>
      <c r="Z11" s="2628"/>
      <c r="AA11" s="2628"/>
      <c r="AB11" s="2628"/>
      <c r="AC11" s="2628"/>
      <c r="AD11" s="2628"/>
      <c r="AE11" s="2628"/>
      <c r="AF11" s="2628"/>
      <c r="AG11" s="2628"/>
      <c r="AH11" s="2628"/>
      <c r="AI11" s="2628"/>
      <c r="AJ11" s="2628"/>
      <c r="AK11" s="2629"/>
      <c r="AL11" s="2604"/>
      <c r="AM11" s="2605"/>
      <c r="AN11" s="2605"/>
      <c r="AO11" s="2605"/>
      <c r="AP11" s="2606"/>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1" t="s">
        <v>2059</v>
      </c>
      <c r="Y12" s="2602"/>
      <c r="Z12" s="2602"/>
      <c r="AA12" s="2602"/>
      <c r="AB12" s="2602"/>
      <c r="AC12" s="2602"/>
      <c r="AD12" s="2602"/>
      <c r="AE12" s="2602"/>
      <c r="AF12" s="2602"/>
      <c r="AG12" s="2602"/>
      <c r="AH12" s="2602"/>
      <c r="AI12" s="2602"/>
      <c r="AJ12" s="2602"/>
      <c r="AK12" s="2603"/>
      <c r="AL12" s="2604"/>
      <c r="AM12" s="2605"/>
      <c r="AN12" s="2605"/>
      <c r="AO12" s="2605"/>
      <c r="AP12" s="2606"/>
      <c r="AQ12" s="1534"/>
      <c r="AR12" s="1534"/>
      <c r="AS12" s="1534"/>
      <c r="AT12" s="1534"/>
      <c r="AU12" s="1534"/>
      <c r="AV12" s="1531"/>
      <c r="AW12" s="1531"/>
      <c r="AX12" s="1531"/>
      <c r="AY12" s="1531"/>
      <c r="AZ12" s="1531"/>
      <c r="BA12" s="1531"/>
      <c r="BB12" s="1531"/>
      <c r="BC12" s="1531"/>
      <c r="BD12" s="1531"/>
      <c r="BE12" s="1537"/>
    </row>
    <row r="13" spans="1:58" ht="15" thickBot="1">
      <c r="A13" s="1836"/>
      <c r="B13" s="2601" t="s">
        <v>2060</v>
      </c>
      <c r="C13" s="2602"/>
      <c r="D13" s="2602"/>
      <c r="E13" s="2602"/>
      <c r="F13" s="2602"/>
      <c r="G13" s="2602"/>
      <c r="H13" s="2602"/>
      <c r="I13" s="2602"/>
      <c r="J13" s="2602"/>
      <c r="K13" s="2602"/>
      <c r="L13" s="2602"/>
      <c r="M13" s="2602"/>
      <c r="N13" s="2602"/>
      <c r="O13" s="2602"/>
      <c r="P13" s="2603"/>
      <c r="Q13" s="2610"/>
      <c r="R13" s="2597"/>
      <c r="S13" s="2597"/>
      <c r="T13" s="2598"/>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611" t="s">
        <v>2061</v>
      </c>
      <c r="C15" s="2611"/>
      <c r="D15" s="2611"/>
      <c r="E15" s="2611"/>
      <c r="F15" s="2611"/>
      <c r="G15" s="2611"/>
      <c r="H15" s="2611"/>
      <c r="I15" s="2611"/>
      <c r="J15" s="2611"/>
      <c r="K15" s="2611"/>
      <c r="L15" s="2612"/>
      <c r="M15" s="2594" t="s">
        <v>2062</v>
      </c>
      <c r="N15" s="2595"/>
      <c r="O15" s="2595"/>
      <c r="P15" s="2595"/>
      <c r="Q15" s="2595"/>
      <c r="R15" s="2595"/>
      <c r="S15" s="2613" t="str">
        <f>IF(Application!AB214="","",Application!AB214)</f>
        <v/>
      </c>
      <c r="T15" s="2613"/>
      <c r="U15" s="2613"/>
      <c r="V15" s="2613"/>
      <c r="W15" s="261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630" t="s">
        <v>2063</v>
      </c>
      <c r="C17" s="2631"/>
      <c r="D17" s="2631"/>
      <c r="E17" s="2631"/>
      <c r="F17" s="2631"/>
      <c r="G17" s="2631"/>
      <c r="H17" s="2631"/>
      <c r="I17" s="2631"/>
      <c r="J17" s="2631"/>
      <c r="K17" s="2631"/>
      <c r="L17" s="2631"/>
      <c r="M17" s="2631"/>
      <c r="N17" s="2631"/>
      <c r="O17" s="2631"/>
      <c r="P17" s="2631"/>
      <c r="Q17" s="2631"/>
      <c r="R17" s="2631"/>
      <c r="S17" s="2631"/>
      <c r="T17" s="2631"/>
      <c r="U17" s="2631"/>
      <c r="V17" s="2631"/>
      <c r="W17" s="2631"/>
      <c r="X17" s="2631"/>
      <c r="Y17" s="2631"/>
      <c r="Z17" s="2631"/>
      <c r="AA17" s="2631"/>
      <c r="AB17" s="2631"/>
      <c r="AC17" s="2631"/>
      <c r="AD17" s="2631"/>
      <c r="AE17" s="2631"/>
      <c r="AF17" s="2631"/>
      <c r="AG17" s="2631"/>
      <c r="AH17" s="2631"/>
      <c r="AI17" s="2631"/>
      <c r="AJ17" s="2631"/>
      <c r="AK17" s="2631"/>
      <c r="AL17" s="2631"/>
      <c r="AM17" s="2631"/>
      <c r="AN17" s="2631"/>
      <c r="AO17" s="2631"/>
      <c r="AP17" s="2631"/>
      <c r="AQ17" s="2631"/>
      <c r="AR17" s="2631"/>
      <c r="AS17" s="2631"/>
      <c r="AT17" s="2631"/>
      <c r="AU17" s="2631"/>
      <c r="AV17" s="2631"/>
      <c r="AW17" s="2631"/>
      <c r="AX17" s="2631"/>
      <c r="AY17" s="2632"/>
      <c r="AZ17" s="1531"/>
      <c r="BA17" s="1531"/>
      <c r="BB17" s="1531"/>
      <c r="BC17" s="1531"/>
      <c r="BD17" s="1531"/>
      <c r="BE17" s="1537"/>
      <c r="BF17" s="1529"/>
    </row>
    <row r="18" spans="1:58" ht="15.75" customHeight="1">
      <c r="A18" s="1836"/>
      <c r="B18" s="2633" t="s">
        <v>2064</v>
      </c>
      <c r="C18" s="2634"/>
      <c r="D18" s="2634"/>
      <c r="E18" s="2634"/>
      <c r="F18" s="2634"/>
      <c r="G18" s="2634"/>
      <c r="H18" s="2634"/>
      <c r="I18" s="2635"/>
      <c r="J18" s="2636" t="s">
        <v>1894</v>
      </c>
      <c r="K18" s="2637"/>
      <c r="L18" s="2637"/>
      <c r="M18" s="2637"/>
      <c r="N18" s="2637"/>
      <c r="O18" s="2638"/>
      <c r="P18" s="2636" t="s">
        <v>335</v>
      </c>
      <c r="Q18" s="2637"/>
      <c r="R18" s="2637"/>
      <c r="S18" s="2637"/>
      <c r="T18" s="2637"/>
      <c r="U18" s="2638"/>
      <c r="V18" s="2636" t="s">
        <v>336</v>
      </c>
      <c r="W18" s="2637"/>
      <c r="X18" s="2637"/>
      <c r="Y18" s="2637"/>
      <c r="Z18" s="2637"/>
      <c r="AA18" s="2638"/>
      <c r="AB18" s="2636" t="s">
        <v>168</v>
      </c>
      <c r="AC18" s="2637"/>
      <c r="AD18" s="2637"/>
      <c r="AE18" s="2637"/>
      <c r="AF18" s="2637"/>
      <c r="AG18" s="2638"/>
      <c r="AH18" s="2636" t="s">
        <v>169</v>
      </c>
      <c r="AI18" s="2637"/>
      <c r="AJ18" s="2637"/>
      <c r="AK18" s="2637"/>
      <c r="AL18" s="2637"/>
      <c r="AM18" s="2638"/>
      <c r="AN18" s="2636" t="s">
        <v>170</v>
      </c>
      <c r="AO18" s="2637"/>
      <c r="AP18" s="2637"/>
      <c r="AQ18" s="2637"/>
      <c r="AR18" s="2637"/>
      <c r="AS18" s="2638"/>
      <c r="AT18" s="2636" t="s">
        <v>2065</v>
      </c>
      <c r="AU18" s="2637"/>
      <c r="AV18" s="2637"/>
      <c r="AW18" s="2637"/>
      <c r="AX18" s="2637"/>
      <c r="AY18" s="2639"/>
      <c r="AZ18" s="1531"/>
      <c r="BA18" s="1531"/>
      <c r="BB18" s="1531"/>
      <c r="BC18" s="1531"/>
      <c r="BD18" s="1531"/>
      <c r="BE18" s="1537"/>
    </row>
    <row r="19" spans="1:58" ht="14.4">
      <c r="A19" s="1836"/>
      <c r="B19" s="2646">
        <v>0.2</v>
      </c>
      <c r="C19" s="2647"/>
      <c r="D19" s="2647"/>
      <c r="E19" s="2647"/>
      <c r="F19" s="2647"/>
      <c r="G19" s="2647"/>
      <c r="H19" s="2647"/>
      <c r="I19" s="2647"/>
      <c r="J19" s="2636">
        <f>SUM(P19:AS19)</f>
        <v>0</v>
      </c>
      <c r="K19" s="2637"/>
      <c r="L19" s="2637"/>
      <c r="M19" s="2637"/>
      <c r="N19" s="2637"/>
      <c r="O19" s="2638"/>
      <c r="P19" s="2640" cm="1">
        <f t="array" ref="P19">SUMPRODUCT((Application!$B$728:$B$752 = 'CalHFA Addendum'!P$18)*(Application!$AH$728:$AH$752 = 'CalHFA Addendum'!$B19),Application!$G$728:$G$752)</f>
        <v>0</v>
      </c>
      <c r="Q19" s="2641"/>
      <c r="R19" s="2641"/>
      <c r="S19" s="2641"/>
      <c r="T19" s="2641"/>
      <c r="U19" s="2642"/>
      <c r="V19" s="2640" cm="1">
        <f t="array" ref="V19">SUMPRODUCT((Application!$B$728:$B$752 = 'CalHFA Addendum'!V$18)*(Application!$AH$728:$AH$752 = 'CalHFA Addendum'!$B19),Application!$G$728:$G$752)</f>
        <v>0</v>
      </c>
      <c r="W19" s="2641"/>
      <c r="X19" s="2641"/>
      <c r="Y19" s="2641"/>
      <c r="Z19" s="2641"/>
      <c r="AA19" s="2642"/>
      <c r="AB19" s="2640" cm="1">
        <f t="array" ref="AB19">SUMPRODUCT((Application!$B$728:$B$752 = 'CalHFA Addendum'!AB$18)*(Application!$AH$728:$AH$752 = 'CalHFA Addendum'!$B19),Application!$G$728:$G$752)</f>
        <v>0</v>
      </c>
      <c r="AC19" s="2641"/>
      <c r="AD19" s="2641"/>
      <c r="AE19" s="2641"/>
      <c r="AF19" s="2641"/>
      <c r="AG19" s="2642"/>
      <c r="AH19" s="2640" cm="1">
        <f t="array" ref="AH19">SUMPRODUCT((Application!$B$728:$B$752 = 'CalHFA Addendum'!AH$18)*(Application!$AH$728:$AH$752 = 'CalHFA Addendum'!$B19),Application!$G$728:$G$752)</f>
        <v>0</v>
      </c>
      <c r="AI19" s="2641"/>
      <c r="AJ19" s="2641"/>
      <c r="AK19" s="2641"/>
      <c r="AL19" s="2641"/>
      <c r="AM19" s="2642"/>
      <c r="AN19" s="2640" cm="1">
        <f t="array" ref="AN19">SUMPRODUCT((Application!$B$728:$B$752 = 'CalHFA Addendum'!AN$18)*(Application!$AH$728:$AH$752 = 'CalHFA Addendum'!$B19),Application!$G$728:$G$752)</f>
        <v>0</v>
      </c>
      <c r="AO19" s="2641"/>
      <c r="AP19" s="2641"/>
      <c r="AQ19" s="2641"/>
      <c r="AR19" s="2641"/>
      <c r="AS19" s="2642"/>
      <c r="AT19" s="2643">
        <f t="shared" ref="AT19:AT27" si="0">J19/$J$29</f>
        <v>0</v>
      </c>
      <c r="AU19" s="2644"/>
      <c r="AV19" s="2644"/>
      <c r="AW19" s="2644"/>
      <c r="AX19" s="2644"/>
      <c r="AY19" s="2645"/>
      <c r="AZ19" s="1538"/>
      <c r="BA19" s="1531"/>
      <c r="BB19" s="1531"/>
      <c r="BC19" s="1531"/>
      <c r="BD19" s="1531"/>
      <c r="BE19" s="1537"/>
    </row>
    <row r="20" spans="1:58" ht="15" customHeight="1">
      <c r="A20" s="1836"/>
      <c r="B20" s="2646">
        <v>0.3</v>
      </c>
      <c r="C20" s="2647"/>
      <c r="D20" s="2647"/>
      <c r="E20" s="2647"/>
      <c r="F20" s="2647"/>
      <c r="G20" s="2647"/>
      <c r="H20" s="2647"/>
      <c r="I20" s="2647"/>
      <c r="J20" s="2636">
        <f t="shared" ref="J20:J27" si="1">SUM(P20:AS20)</f>
        <v>14</v>
      </c>
      <c r="K20" s="2637"/>
      <c r="L20" s="2637"/>
      <c r="M20" s="2637"/>
      <c r="N20" s="2637"/>
      <c r="O20" s="2638"/>
      <c r="P20" s="2640" cm="1">
        <f t="array" ref="P20">SUMPRODUCT((Application!$B$728:$B$752 = 'CalHFA Addendum'!P$18)*(Application!$AH$728:$AH$752 = 'CalHFA Addendum'!$B20),Application!$G$728:$G$752)</f>
        <v>0</v>
      </c>
      <c r="Q20" s="2641"/>
      <c r="R20" s="2641"/>
      <c r="S20" s="2641"/>
      <c r="T20" s="2641"/>
      <c r="U20" s="2642"/>
      <c r="V20" s="2640" cm="1">
        <f t="array" ref="V20">SUMPRODUCT((Application!$B$728:$B$752 = 'CalHFA Addendum'!V$18)*(Application!$AH$728:$AH$752 = 'CalHFA Addendum'!$B20),Application!$G$728:$G$752)</f>
        <v>0</v>
      </c>
      <c r="W20" s="2641"/>
      <c r="X20" s="2641"/>
      <c r="Y20" s="2641"/>
      <c r="Z20" s="2641"/>
      <c r="AA20" s="2642"/>
      <c r="AB20" s="2640" cm="1">
        <f t="array" ref="AB20">SUMPRODUCT((Application!$B$728:$B$752 = 'CalHFA Addendum'!AB$18)*(Application!$AH$728:$AH$752 = 'CalHFA Addendum'!$B20),Application!$G$728:$G$752)</f>
        <v>1</v>
      </c>
      <c r="AC20" s="2641"/>
      <c r="AD20" s="2641"/>
      <c r="AE20" s="2641"/>
      <c r="AF20" s="2641"/>
      <c r="AG20" s="2642"/>
      <c r="AH20" s="2640" cm="1">
        <f t="array" ref="AH20">SUMPRODUCT((Application!$B$728:$B$752 = 'CalHFA Addendum'!AH$18)*(Application!$AH$728:$AH$752 = 'CalHFA Addendum'!$B20),Application!$G$728:$G$752)</f>
        <v>13</v>
      </c>
      <c r="AI20" s="2641"/>
      <c r="AJ20" s="2641"/>
      <c r="AK20" s="2641"/>
      <c r="AL20" s="2641"/>
      <c r="AM20" s="2642"/>
      <c r="AN20" s="2640" cm="1">
        <f t="array" ref="AN20">SUMPRODUCT((Application!$B$728:$B$752 = 'CalHFA Addendum'!AN$18)*(Application!$AH$728:$AH$752 = 'CalHFA Addendum'!$B20),Application!$G$728:$G$752)</f>
        <v>0</v>
      </c>
      <c r="AO20" s="2641"/>
      <c r="AP20" s="2641"/>
      <c r="AQ20" s="2641"/>
      <c r="AR20" s="2641"/>
      <c r="AS20" s="2642"/>
      <c r="AT20" s="2643">
        <f t="shared" si="0"/>
        <v>0.1044776119402985</v>
      </c>
      <c r="AU20" s="2644"/>
      <c r="AV20" s="2644"/>
      <c r="AW20" s="2644"/>
      <c r="AX20" s="2644"/>
      <c r="AY20" s="2645"/>
      <c r="AZ20" s="1531"/>
      <c r="BA20" s="1531"/>
      <c r="BB20" s="1531"/>
      <c r="BC20" s="1531"/>
      <c r="BD20" s="1531"/>
      <c r="BE20" s="1537"/>
    </row>
    <row r="21" spans="1:58" ht="14.4">
      <c r="A21" s="1836"/>
      <c r="B21" s="2646">
        <v>0.4</v>
      </c>
      <c r="C21" s="2647"/>
      <c r="D21" s="2647"/>
      <c r="E21" s="2647"/>
      <c r="F21" s="2647"/>
      <c r="G21" s="2647"/>
      <c r="H21" s="2647"/>
      <c r="I21" s="2647"/>
      <c r="J21" s="2636">
        <f t="shared" si="1"/>
        <v>0</v>
      </c>
      <c r="K21" s="2637"/>
      <c r="L21" s="2637"/>
      <c r="M21" s="2637"/>
      <c r="N21" s="2637"/>
      <c r="O21" s="2638"/>
      <c r="P21" s="2640" cm="1">
        <f t="array" ref="P21">SUMPRODUCT((Application!$B$728:$B$752 = 'CalHFA Addendum'!P$18)*(Application!$AH$728:$AH$752 = 'CalHFA Addendum'!$B21),Application!$G$728:$G$752)</f>
        <v>0</v>
      </c>
      <c r="Q21" s="2641"/>
      <c r="R21" s="2641"/>
      <c r="S21" s="2641"/>
      <c r="T21" s="2641"/>
      <c r="U21" s="2642"/>
      <c r="V21" s="2640" cm="1">
        <f t="array" ref="V21">SUMPRODUCT((Application!$B$728:$B$752 = 'CalHFA Addendum'!V$18)*(Application!$AH$728:$AH$752 = 'CalHFA Addendum'!$B21),Application!$G$728:$G$752)</f>
        <v>0</v>
      </c>
      <c r="W21" s="2641"/>
      <c r="X21" s="2641"/>
      <c r="Y21" s="2641"/>
      <c r="Z21" s="2641"/>
      <c r="AA21" s="2642"/>
      <c r="AB21" s="2640" cm="1">
        <f t="array" ref="AB21">SUMPRODUCT((Application!$B$728:$B$752 = 'CalHFA Addendum'!AB$18)*(Application!$AH$728:$AH$752 = 'CalHFA Addendum'!$B21),Application!$G$728:$G$752)</f>
        <v>0</v>
      </c>
      <c r="AC21" s="2641"/>
      <c r="AD21" s="2641"/>
      <c r="AE21" s="2641"/>
      <c r="AF21" s="2641"/>
      <c r="AG21" s="2642"/>
      <c r="AH21" s="2640" cm="1">
        <f t="array" ref="AH21">SUMPRODUCT((Application!$B$728:$B$752 = 'CalHFA Addendum'!AH$18)*(Application!$AH$728:$AH$752 = 'CalHFA Addendum'!$B21),Application!$G$728:$G$752)</f>
        <v>0</v>
      </c>
      <c r="AI21" s="2641"/>
      <c r="AJ21" s="2641"/>
      <c r="AK21" s="2641"/>
      <c r="AL21" s="2641"/>
      <c r="AM21" s="2642"/>
      <c r="AN21" s="2640" cm="1">
        <f t="array" ref="AN21">SUMPRODUCT((Application!$B$728:$B$752 = 'CalHFA Addendum'!AN$18)*(Application!$AH$728:$AH$752 = 'CalHFA Addendum'!$B21),Application!$G$728:$G$752)</f>
        <v>0</v>
      </c>
      <c r="AO21" s="2641"/>
      <c r="AP21" s="2641"/>
      <c r="AQ21" s="2641"/>
      <c r="AR21" s="2641"/>
      <c r="AS21" s="2642"/>
      <c r="AT21" s="2643">
        <f t="shared" si="0"/>
        <v>0</v>
      </c>
      <c r="AU21" s="2644"/>
      <c r="AV21" s="2644"/>
      <c r="AW21" s="2644"/>
      <c r="AX21" s="2644"/>
      <c r="AY21" s="2645"/>
      <c r="AZ21" s="1531"/>
      <c r="BA21" s="1531"/>
      <c r="BB21" s="1531"/>
      <c r="BC21" s="1531"/>
      <c r="BD21" s="1531"/>
      <c r="BE21" s="1537"/>
    </row>
    <row r="22" spans="1:58" ht="14.4">
      <c r="A22" s="1836"/>
      <c r="B22" s="2646">
        <v>0.5</v>
      </c>
      <c r="C22" s="2647"/>
      <c r="D22" s="2647"/>
      <c r="E22" s="2647"/>
      <c r="F22" s="2647"/>
      <c r="G22" s="2647"/>
      <c r="H22" s="2647"/>
      <c r="I22" s="2647"/>
      <c r="J22" s="2636">
        <f t="shared" si="1"/>
        <v>14</v>
      </c>
      <c r="K22" s="2637"/>
      <c r="L22" s="2637"/>
      <c r="M22" s="2637"/>
      <c r="N22" s="2637"/>
      <c r="O22" s="2638"/>
      <c r="P22" s="2640" cm="1">
        <f t="array" ref="P22">SUMPRODUCT((Application!$B$728:$B$752 = 'CalHFA Addendum'!P$18)*(Application!$AH$728:$AH$752 = 'CalHFA Addendum'!$B22),Application!$G$728:$G$752)</f>
        <v>0</v>
      </c>
      <c r="Q22" s="2641"/>
      <c r="R22" s="2641"/>
      <c r="S22" s="2641"/>
      <c r="T22" s="2641"/>
      <c r="U22" s="2642"/>
      <c r="V22" s="2640" cm="1">
        <f t="array" ref="V22">SUMPRODUCT((Application!$B$728:$B$752 = 'CalHFA Addendum'!V$18)*(Application!$AH$728:$AH$752 = 'CalHFA Addendum'!$B22),Application!$G$728:$G$752)</f>
        <v>0</v>
      </c>
      <c r="W22" s="2641"/>
      <c r="X22" s="2641"/>
      <c r="Y22" s="2641"/>
      <c r="Z22" s="2641"/>
      <c r="AA22" s="2642"/>
      <c r="AB22" s="2640" cm="1">
        <f t="array" ref="AB22">SUMPRODUCT((Application!$B$728:$B$752 = 'CalHFA Addendum'!AB$18)*(Application!$AH$728:$AH$752 = 'CalHFA Addendum'!$B22),Application!$G$728:$G$752)</f>
        <v>1</v>
      </c>
      <c r="AC22" s="2641"/>
      <c r="AD22" s="2641"/>
      <c r="AE22" s="2641"/>
      <c r="AF22" s="2641"/>
      <c r="AG22" s="2642"/>
      <c r="AH22" s="2640" cm="1">
        <f t="array" ref="AH22">SUMPRODUCT((Application!$B$728:$B$752 = 'CalHFA Addendum'!AH$18)*(Application!$AH$728:$AH$752 = 'CalHFA Addendum'!$B22),Application!$G$728:$G$752)</f>
        <v>13</v>
      </c>
      <c r="AI22" s="2641"/>
      <c r="AJ22" s="2641"/>
      <c r="AK22" s="2641"/>
      <c r="AL22" s="2641"/>
      <c r="AM22" s="2642"/>
      <c r="AN22" s="2640" cm="1">
        <f t="array" ref="AN22">SUMPRODUCT((Application!$B$728:$B$752 = 'CalHFA Addendum'!AN$18)*(Application!$AH$728:$AH$752 = 'CalHFA Addendum'!$B22),Application!$G$728:$G$752)</f>
        <v>0</v>
      </c>
      <c r="AO22" s="2641"/>
      <c r="AP22" s="2641"/>
      <c r="AQ22" s="2641"/>
      <c r="AR22" s="2641"/>
      <c r="AS22" s="2642"/>
      <c r="AT22" s="2643">
        <f t="shared" si="0"/>
        <v>0.1044776119402985</v>
      </c>
      <c r="AU22" s="2644"/>
      <c r="AV22" s="2644"/>
      <c r="AW22" s="2644"/>
      <c r="AX22" s="2644"/>
      <c r="AY22" s="2645"/>
      <c r="AZ22" s="1531"/>
      <c r="BA22" s="1531"/>
      <c r="BB22" s="1531"/>
      <c r="BC22" s="1531"/>
      <c r="BD22" s="1531"/>
      <c r="BE22" s="1537"/>
    </row>
    <row r="23" spans="1:58" ht="14.4">
      <c r="A23" s="1836"/>
      <c r="B23" s="2646">
        <v>0.6</v>
      </c>
      <c r="C23" s="2647"/>
      <c r="D23" s="2647"/>
      <c r="E23" s="2647"/>
      <c r="F23" s="2647"/>
      <c r="G23" s="2647"/>
      <c r="H23" s="2647"/>
      <c r="I23" s="2647"/>
      <c r="J23" s="2636">
        <f t="shared" si="1"/>
        <v>49</v>
      </c>
      <c r="K23" s="2637"/>
      <c r="L23" s="2637"/>
      <c r="M23" s="2637"/>
      <c r="N23" s="2637"/>
      <c r="O23" s="2638"/>
      <c r="P23" s="2640" cm="1">
        <f t="array" ref="P23">SUMPRODUCT((Application!$B$728:$B$752 = 'CalHFA Addendum'!P$18)*(Application!$AH$728:$AH$752 = 'CalHFA Addendum'!$B23),Application!$G$728:$G$752)</f>
        <v>0</v>
      </c>
      <c r="Q23" s="2641"/>
      <c r="R23" s="2641"/>
      <c r="S23" s="2641"/>
      <c r="T23" s="2641"/>
      <c r="U23" s="2642"/>
      <c r="V23" s="2640" cm="1">
        <f t="array" ref="V23">SUMPRODUCT((Application!$B$728:$B$752 = 'CalHFA Addendum'!V$18)*(Application!$AH$728:$AH$752 = 'CalHFA Addendum'!$B23),Application!$G$728:$G$752)</f>
        <v>0</v>
      </c>
      <c r="W23" s="2641"/>
      <c r="X23" s="2641"/>
      <c r="Y23" s="2641"/>
      <c r="Z23" s="2641"/>
      <c r="AA23" s="2642"/>
      <c r="AB23" s="2640" cm="1">
        <f t="array" ref="AB23">SUMPRODUCT((Application!$B$728:$B$752 = 'CalHFA Addendum'!AB$18)*(Application!$AH$728:$AH$752 = 'CalHFA Addendum'!$B23),Application!$G$728:$G$752)</f>
        <v>0</v>
      </c>
      <c r="AC23" s="2641"/>
      <c r="AD23" s="2641"/>
      <c r="AE23" s="2641"/>
      <c r="AF23" s="2641"/>
      <c r="AG23" s="2642"/>
      <c r="AH23" s="2640" cm="1">
        <f t="array" ref="AH23">SUMPRODUCT((Application!$B$728:$B$752 = 'CalHFA Addendum'!AH$18)*(Application!$AH$728:$AH$752 = 'CalHFA Addendum'!$B23),Application!$G$728:$G$752)</f>
        <v>49</v>
      </c>
      <c r="AI23" s="2641"/>
      <c r="AJ23" s="2641"/>
      <c r="AK23" s="2641"/>
      <c r="AL23" s="2641"/>
      <c r="AM23" s="2642"/>
      <c r="AN23" s="2640" cm="1">
        <f t="array" ref="AN23">SUMPRODUCT((Application!$B$728:$B$752 = 'CalHFA Addendum'!AN$18)*(Application!$AH$728:$AH$752 = 'CalHFA Addendum'!$B23),Application!$G$728:$G$752)</f>
        <v>0</v>
      </c>
      <c r="AO23" s="2641"/>
      <c r="AP23" s="2641"/>
      <c r="AQ23" s="2641"/>
      <c r="AR23" s="2641"/>
      <c r="AS23" s="2642"/>
      <c r="AT23" s="2643">
        <f t="shared" si="0"/>
        <v>0.36567164179104478</v>
      </c>
      <c r="AU23" s="2644"/>
      <c r="AV23" s="2644"/>
      <c r="AW23" s="2644"/>
      <c r="AX23" s="2644"/>
      <c r="AY23" s="2645"/>
      <c r="AZ23" s="1531"/>
      <c r="BA23" s="1531"/>
      <c r="BB23" s="1531"/>
      <c r="BC23" s="1531"/>
      <c r="BD23" s="1531"/>
      <c r="BE23" s="1537"/>
    </row>
    <row r="24" spans="1:58" ht="14.4">
      <c r="A24" s="1836"/>
      <c r="B24" s="2646">
        <v>0.7</v>
      </c>
      <c r="C24" s="2647"/>
      <c r="D24" s="2647"/>
      <c r="E24" s="2647"/>
      <c r="F24" s="2647"/>
      <c r="G24" s="2647"/>
      <c r="H24" s="2647"/>
      <c r="I24" s="2647"/>
      <c r="J24" s="2636">
        <f t="shared" si="1"/>
        <v>56</v>
      </c>
      <c r="K24" s="2637"/>
      <c r="L24" s="2637"/>
      <c r="M24" s="2637"/>
      <c r="N24" s="2637"/>
      <c r="O24" s="2638"/>
      <c r="P24" s="2640" cm="1">
        <f t="array" ref="P24">SUMPRODUCT((Application!$B$728:$B$752 = 'CalHFA Addendum'!P$18)*(Application!$AH$728:$AH$752 = 'CalHFA Addendum'!$B24),Application!$G$728:$G$752)</f>
        <v>0</v>
      </c>
      <c r="Q24" s="2641"/>
      <c r="R24" s="2641"/>
      <c r="S24" s="2641"/>
      <c r="T24" s="2641"/>
      <c r="U24" s="2642"/>
      <c r="V24" s="2640" cm="1">
        <f t="array" ref="V24">SUMPRODUCT((Application!$B$728:$B$752 = 'CalHFA Addendum'!V$18)*(Application!$AH$728:$AH$752 = 'CalHFA Addendum'!$B24),Application!$G$728:$G$752)</f>
        <v>0</v>
      </c>
      <c r="W24" s="2641"/>
      <c r="X24" s="2641"/>
      <c r="Y24" s="2641"/>
      <c r="Z24" s="2641"/>
      <c r="AA24" s="2642"/>
      <c r="AB24" s="2640" cm="1">
        <f t="array" ref="AB24">SUMPRODUCT((Application!$B$728:$B$752 = 'CalHFA Addendum'!AB$18)*(Application!$AH$728:$AH$752 = 'CalHFA Addendum'!$B24),Application!$G$728:$G$752)</f>
        <v>4</v>
      </c>
      <c r="AC24" s="2641"/>
      <c r="AD24" s="2641"/>
      <c r="AE24" s="2641"/>
      <c r="AF24" s="2641"/>
      <c r="AG24" s="2642"/>
      <c r="AH24" s="2640" cm="1">
        <f t="array" ref="AH24">SUMPRODUCT((Application!$B$728:$B$752 = 'CalHFA Addendum'!AH$18)*(Application!$AH$728:$AH$752 = 'CalHFA Addendum'!$B24),Application!$G$728:$G$752)</f>
        <v>52</v>
      </c>
      <c r="AI24" s="2641"/>
      <c r="AJ24" s="2641"/>
      <c r="AK24" s="2641"/>
      <c r="AL24" s="2641"/>
      <c r="AM24" s="2642"/>
      <c r="AN24" s="2640" cm="1">
        <f t="array" ref="AN24">SUMPRODUCT((Application!$B$728:$B$752 = 'CalHFA Addendum'!AN$18)*(Application!$AH$728:$AH$752 = 'CalHFA Addendum'!$B24),Application!$G$728:$G$752)</f>
        <v>0</v>
      </c>
      <c r="AO24" s="2641"/>
      <c r="AP24" s="2641"/>
      <c r="AQ24" s="2641"/>
      <c r="AR24" s="2641"/>
      <c r="AS24" s="2642"/>
      <c r="AT24" s="2643">
        <f t="shared" si="0"/>
        <v>0.41791044776119401</v>
      </c>
      <c r="AU24" s="2644"/>
      <c r="AV24" s="2644"/>
      <c r="AW24" s="2644"/>
      <c r="AX24" s="2644"/>
      <c r="AY24" s="2645"/>
      <c r="AZ24" s="1531"/>
      <c r="BA24" s="1531"/>
      <c r="BB24" s="1531"/>
      <c r="BC24" s="1531"/>
      <c r="BD24" s="1531"/>
      <c r="BE24" s="1537"/>
    </row>
    <row r="25" spans="1:58" ht="14.4">
      <c r="A25" s="1836"/>
      <c r="B25" s="2646">
        <v>0.8</v>
      </c>
      <c r="C25" s="2647"/>
      <c r="D25" s="2647"/>
      <c r="E25" s="2647"/>
      <c r="F25" s="2647"/>
      <c r="G25" s="2647"/>
      <c r="H25" s="2647"/>
      <c r="I25" s="2647"/>
      <c r="J25" s="2636">
        <f t="shared" si="1"/>
        <v>0</v>
      </c>
      <c r="K25" s="2637"/>
      <c r="L25" s="2637"/>
      <c r="M25" s="2637"/>
      <c r="N25" s="2637"/>
      <c r="O25" s="2638"/>
      <c r="P25" s="2640" cm="1">
        <f t="array" ref="P25">SUMPRODUCT((Application!$B$728:$B$752 = 'CalHFA Addendum'!P$18)*(Application!$AH$728:$AH$752 = 'CalHFA Addendum'!$B25),Application!$G$728:$G$752)</f>
        <v>0</v>
      </c>
      <c r="Q25" s="2641"/>
      <c r="R25" s="2641"/>
      <c r="S25" s="2641"/>
      <c r="T25" s="2641"/>
      <c r="U25" s="2642"/>
      <c r="V25" s="2640" cm="1">
        <f t="array" ref="V25">SUMPRODUCT((Application!$B$728:$B$752 = 'CalHFA Addendum'!V$18)*(Application!$AH$728:$AH$752 = 'CalHFA Addendum'!$B25),Application!$G$728:$G$752)</f>
        <v>0</v>
      </c>
      <c r="W25" s="2641"/>
      <c r="X25" s="2641"/>
      <c r="Y25" s="2641"/>
      <c r="Z25" s="2641"/>
      <c r="AA25" s="2642"/>
      <c r="AB25" s="2640" cm="1">
        <f t="array" ref="AB25">SUMPRODUCT((Application!$B$728:$B$752 = 'CalHFA Addendum'!AB$18)*(Application!$AH$728:$AH$752 = 'CalHFA Addendum'!$B25),Application!$G$728:$G$752)</f>
        <v>0</v>
      </c>
      <c r="AC25" s="2641"/>
      <c r="AD25" s="2641"/>
      <c r="AE25" s="2641"/>
      <c r="AF25" s="2641"/>
      <c r="AG25" s="2642"/>
      <c r="AH25" s="2640" cm="1">
        <f t="array" ref="AH25">SUMPRODUCT((Application!$B$728:$B$752 = 'CalHFA Addendum'!AH$18)*(Application!$AH$728:$AH$752 = 'CalHFA Addendum'!$B25),Application!$G$728:$G$752)</f>
        <v>0</v>
      </c>
      <c r="AI25" s="2641"/>
      <c r="AJ25" s="2641"/>
      <c r="AK25" s="2641"/>
      <c r="AL25" s="2641"/>
      <c r="AM25" s="2642"/>
      <c r="AN25" s="2640" cm="1">
        <f t="array" ref="AN25">SUMPRODUCT((Application!$B$728:$B$752 = 'CalHFA Addendum'!AN$18)*(Application!$AH$728:$AH$752 = 'CalHFA Addendum'!$B25),Application!$G$728:$G$752)</f>
        <v>0</v>
      </c>
      <c r="AO25" s="2641"/>
      <c r="AP25" s="2641"/>
      <c r="AQ25" s="2641"/>
      <c r="AR25" s="2641"/>
      <c r="AS25" s="2642"/>
      <c r="AT25" s="2643">
        <f t="shared" si="0"/>
        <v>0</v>
      </c>
      <c r="AU25" s="2644"/>
      <c r="AV25" s="2644"/>
      <c r="AW25" s="2644"/>
      <c r="AX25" s="2644"/>
      <c r="AY25" s="2645"/>
      <c r="AZ25" s="1531"/>
      <c r="BA25" s="1531"/>
      <c r="BB25" s="1531"/>
      <c r="BC25" s="1531"/>
      <c r="BD25" s="1531"/>
      <c r="BE25" s="1537"/>
    </row>
    <row r="26" spans="1:58" ht="14.4">
      <c r="A26" s="1836"/>
      <c r="B26" s="2646">
        <v>0.9</v>
      </c>
      <c r="C26" s="2647"/>
      <c r="D26" s="2647"/>
      <c r="E26" s="2647"/>
      <c r="F26" s="2647"/>
      <c r="G26" s="2647"/>
      <c r="H26" s="2647"/>
      <c r="I26" s="2647"/>
      <c r="J26" s="2636">
        <f t="shared" si="1"/>
        <v>0</v>
      </c>
      <c r="K26" s="2637"/>
      <c r="L26" s="2637"/>
      <c r="M26" s="2637"/>
      <c r="N26" s="2637"/>
      <c r="O26" s="2638"/>
      <c r="P26" s="2640" cm="1">
        <f t="array" ref="P26">SUMPRODUCT((Application!$B$728:$B$752 = 'CalHFA Addendum'!P$18)*(Application!$AH$728:$AH$752 = 'CalHFA Addendum'!$B26),Application!$G$728:$G$752)</f>
        <v>0</v>
      </c>
      <c r="Q26" s="2641"/>
      <c r="R26" s="2641"/>
      <c r="S26" s="2641"/>
      <c r="T26" s="2641"/>
      <c r="U26" s="2642"/>
      <c r="V26" s="2640" cm="1">
        <f t="array" ref="V26">SUMPRODUCT((Application!$B$728:$B$752 = 'CalHFA Addendum'!V$18)*(Application!$AH$728:$AH$752 = 'CalHFA Addendum'!$B26),Application!$G$728:$G$752)</f>
        <v>0</v>
      </c>
      <c r="W26" s="2641"/>
      <c r="X26" s="2641"/>
      <c r="Y26" s="2641"/>
      <c r="Z26" s="2641"/>
      <c r="AA26" s="2642"/>
      <c r="AB26" s="2640" cm="1">
        <f t="array" ref="AB26">SUMPRODUCT((Application!$B$728:$B$752 = 'CalHFA Addendum'!AB$18)*(Application!$AH$728:$AH$752 = 'CalHFA Addendum'!$B26),Application!$G$728:$G$752)</f>
        <v>0</v>
      </c>
      <c r="AC26" s="2641"/>
      <c r="AD26" s="2641"/>
      <c r="AE26" s="2641"/>
      <c r="AF26" s="2641"/>
      <c r="AG26" s="2642"/>
      <c r="AH26" s="2640" cm="1">
        <f t="array" ref="AH26">SUMPRODUCT((Application!$B$728:$B$752 = 'CalHFA Addendum'!AH$18)*(Application!$AH$728:$AH$752 = 'CalHFA Addendum'!$B26),Application!$G$728:$G$752)</f>
        <v>0</v>
      </c>
      <c r="AI26" s="2641"/>
      <c r="AJ26" s="2641"/>
      <c r="AK26" s="2641"/>
      <c r="AL26" s="2641"/>
      <c r="AM26" s="2642"/>
      <c r="AN26" s="2640" cm="1">
        <f t="array" ref="AN26">SUMPRODUCT((Application!$B$728:$B$752 = 'CalHFA Addendum'!AN$18)*(Application!$AH$728:$AH$752 = 'CalHFA Addendum'!$B26),Application!$G$728:$G$752)</f>
        <v>0</v>
      </c>
      <c r="AO26" s="2641"/>
      <c r="AP26" s="2641"/>
      <c r="AQ26" s="2641"/>
      <c r="AR26" s="2641"/>
      <c r="AS26" s="2642"/>
      <c r="AT26" s="2643">
        <f t="shared" si="0"/>
        <v>0</v>
      </c>
      <c r="AU26" s="2644"/>
      <c r="AV26" s="2644"/>
      <c r="AW26" s="2644"/>
      <c r="AX26" s="2644"/>
      <c r="AY26" s="2645"/>
      <c r="AZ26" s="1531"/>
      <c r="BA26" s="1531"/>
      <c r="BB26" s="1531"/>
      <c r="BC26" s="1531"/>
      <c r="BD26" s="1531"/>
      <c r="BE26" s="1537"/>
    </row>
    <row r="27" spans="1:58" ht="14.4">
      <c r="A27" s="1836"/>
      <c r="B27" s="2646">
        <v>1</v>
      </c>
      <c r="C27" s="2647"/>
      <c r="D27" s="2647"/>
      <c r="E27" s="2647"/>
      <c r="F27" s="2647"/>
      <c r="G27" s="2647"/>
      <c r="H27" s="2647"/>
      <c r="I27" s="2647"/>
      <c r="J27" s="2636">
        <f t="shared" si="1"/>
        <v>0</v>
      </c>
      <c r="K27" s="2637"/>
      <c r="L27" s="2637"/>
      <c r="M27" s="2637"/>
      <c r="N27" s="2637"/>
      <c r="O27" s="2638"/>
      <c r="P27" s="2640" cm="1">
        <f t="array" ref="P27">SUMPRODUCT((Application!$B$728:$B$752 = 'CalHFA Addendum'!P$18)*(Application!$AH$728:$AH$752 = 'CalHFA Addendum'!$B27),Application!$G$728:$G$752)</f>
        <v>0</v>
      </c>
      <c r="Q27" s="2641"/>
      <c r="R27" s="2641"/>
      <c r="S27" s="2641"/>
      <c r="T27" s="2641"/>
      <c r="U27" s="2642"/>
      <c r="V27" s="2640" cm="1">
        <f t="array" ref="V27">SUMPRODUCT((Application!$B$728:$B$752 = 'CalHFA Addendum'!V$18)*(Application!$AH$728:$AH$752 = 'CalHFA Addendum'!$B27),Application!$G$728:$G$752)</f>
        <v>0</v>
      </c>
      <c r="W27" s="2641"/>
      <c r="X27" s="2641"/>
      <c r="Y27" s="2641"/>
      <c r="Z27" s="2641"/>
      <c r="AA27" s="2642"/>
      <c r="AB27" s="2640" cm="1">
        <f t="array" ref="AB27">SUMPRODUCT((Application!$B$728:$B$752 = 'CalHFA Addendum'!AB$18)*(Application!$AH$728:$AH$752 = 'CalHFA Addendum'!$B27),Application!$G$728:$G$752)</f>
        <v>0</v>
      </c>
      <c r="AC27" s="2641"/>
      <c r="AD27" s="2641"/>
      <c r="AE27" s="2641"/>
      <c r="AF27" s="2641"/>
      <c r="AG27" s="2642"/>
      <c r="AH27" s="2640" cm="1">
        <f t="array" ref="AH27">SUMPRODUCT((Application!$B$728:$B$752 = 'CalHFA Addendum'!AH$18)*(Application!$AH$728:$AH$752 = 'CalHFA Addendum'!$B27),Application!$G$728:$G$752)</f>
        <v>0</v>
      </c>
      <c r="AI27" s="2641"/>
      <c r="AJ27" s="2641"/>
      <c r="AK27" s="2641"/>
      <c r="AL27" s="2641"/>
      <c r="AM27" s="2642"/>
      <c r="AN27" s="2640" cm="1">
        <f t="array" ref="AN27">SUMPRODUCT((Application!$B$728:$B$752 = 'CalHFA Addendum'!AN$18)*(Application!$AH$728:$AH$752 = 'CalHFA Addendum'!$B27),Application!$G$728:$G$752)</f>
        <v>0</v>
      </c>
      <c r="AO27" s="2641"/>
      <c r="AP27" s="2641"/>
      <c r="AQ27" s="2641"/>
      <c r="AR27" s="2641"/>
      <c r="AS27" s="2642"/>
      <c r="AT27" s="2643">
        <f t="shared" si="0"/>
        <v>0</v>
      </c>
      <c r="AU27" s="2644"/>
      <c r="AV27" s="2644"/>
      <c r="AW27" s="2644"/>
      <c r="AX27" s="2644"/>
      <c r="AY27" s="2645"/>
      <c r="AZ27" s="1531"/>
      <c r="BA27" s="1531"/>
      <c r="BB27" s="1531"/>
      <c r="BC27" s="1531"/>
      <c r="BD27" s="1531"/>
      <c r="BE27" s="1537"/>
      <c r="BF27" s="1704"/>
    </row>
    <row r="28" spans="1:58" ht="15" thickBot="1">
      <c r="A28" s="1836"/>
      <c r="B28" s="2658" t="s">
        <v>2066</v>
      </c>
      <c r="C28" s="2659"/>
      <c r="D28" s="2659"/>
      <c r="E28" s="2659"/>
      <c r="F28" s="2659"/>
      <c r="G28" s="2659"/>
      <c r="H28" s="2659"/>
      <c r="I28" s="2660"/>
      <c r="J28" s="2636">
        <f t="shared" ref="J28" si="2">SUM(P28:AS28)</f>
        <v>1</v>
      </c>
      <c r="K28" s="2637"/>
      <c r="L28" s="2637"/>
      <c r="M28" s="2637"/>
      <c r="N28" s="2637"/>
      <c r="O28" s="2638"/>
      <c r="P28" s="2648">
        <f>_xlfn.IFNA(VLOOKUP(P$18,Application!$J$772:$S$775,6,FALSE), 0)</f>
        <v>0</v>
      </c>
      <c r="Q28" s="2649"/>
      <c r="R28" s="2649"/>
      <c r="S28" s="2649"/>
      <c r="T28" s="2649"/>
      <c r="U28" s="2650"/>
      <c r="V28" s="2648">
        <f>_xlfn.IFNA(VLOOKUP(V$18,Application!$J$772:$S$775,6,FALSE), 0)</f>
        <v>0</v>
      </c>
      <c r="W28" s="2649"/>
      <c r="X28" s="2649"/>
      <c r="Y28" s="2649"/>
      <c r="Z28" s="2649"/>
      <c r="AA28" s="2650"/>
      <c r="AB28" s="2648">
        <f>_xlfn.IFNA(VLOOKUP(AB$18,Application!$J$772:$S$775,6,FALSE), 0)</f>
        <v>0</v>
      </c>
      <c r="AC28" s="2649"/>
      <c r="AD28" s="2649"/>
      <c r="AE28" s="2649"/>
      <c r="AF28" s="2649"/>
      <c r="AG28" s="2650"/>
      <c r="AH28" s="2648">
        <f>_xlfn.IFNA(VLOOKUP(AH$18,Application!$J$772:$S$775,6,FALSE), 0)</f>
        <v>1</v>
      </c>
      <c r="AI28" s="2649"/>
      <c r="AJ28" s="2649"/>
      <c r="AK28" s="2649"/>
      <c r="AL28" s="2649"/>
      <c r="AM28" s="2650"/>
      <c r="AN28" s="2648">
        <f>_xlfn.IFNA(VLOOKUP(AN$18,Application!$J$772:$S$775,6,FALSE), 0)</f>
        <v>0</v>
      </c>
      <c r="AO28" s="2649"/>
      <c r="AP28" s="2649"/>
      <c r="AQ28" s="2649"/>
      <c r="AR28" s="2649"/>
      <c r="AS28" s="2650"/>
      <c r="AT28" s="2643">
        <f t="shared" ref="AT28" si="3">J28/$J$29</f>
        <v>7.462686567164179E-3</v>
      </c>
      <c r="AU28" s="2644"/>
      <c r="AV28" s="2644"/>
      <c r="AW28" s="2644"/>
      <c r="AX28" s="2644"/>
      <c r="AY28" s="2645"/>
      <c r="AZ28" s="1531"/>
      <c r="BA28" s="1531"/>
      <c r="BB28" s="1531"/>
      <c r="BC28" s="1531"/>
      <c r="BD28" s="1531"/>
      <c r="BE28" s="1537"/>
    </row>
    <row r="29" spans="1:58" ht="15" thickBot="1">
      <c r="A29" s="1836"/>
      <c r="B29" s="2651" t="s">
        <v>1894</v>
      </c>
      <c r="C29" s="2652"/>
      <c r="D29" s="2652"/>
      <c r="E29" s="2652"/>
      <c r="F29" s="2652"/>
      <c r="G29" s="2652"/>
      <c r="H29" s="2652"/>
      <c r="I29" s="2653"/>
      <c r="J29" s="2654">
        <f>SUM(J19:O28)</f>
        <v>134</v>
      </c>
      <c r="K29" s="2652"/>
      <c r="L29" s="2652"/>
      <c r="M29" s="2652"/>
      <c r="N29" s="2652"/>
      <c r="O29" s="2653"/>
      <c r="P29" s="2654">
        <f>SUM(P19:U28)</f>
        <v>0</v>
      </c>
      <c r="Q29" s="2652"/>
      <c r="R29" s="2652"/>
      <c r="S29" s="2652"/>
      <c r="T29" s="2652"/>
      <c r="U29" s="2653"/>
      <c r="V29" s="2654">
        <f>SUM(V19:AA28)</f>
        <v>0</v>
      </c>
      <c r="W29" s="2652"/>
      <c r="X29" s="2652"/>
      <c r="Y29" s="2652"/>
      <c r="Z29" s="2652"/>
      <c r="AA29" s="2653"/>
      <c r="AB29" s="2654">
        <f>SUM(AB19:AG28)</f>
        <v>6</v>
      </c>
      <c r="AC29" s="2652"/>
      <c r="AD29" s="2652"/>
      <c r="AE29" s="2652"/>
      <c r="AF29" s="2652"/>
      <c r="AG29" s="2653"/>
      <c r="AH29" s="2654">
        <f>SUM(AH19:AM28)</f>
        <v>128</v>
      </c>
      <c r="AI29" s="2652"/>
      <c r="AJ29" s="2652"/>
      <c r="AK29" s="2652"/>
      <c r="AL29" s="2652"/>
      <c r="AM29" s="2653"/>
      <c r="AN29" s="2654">
        <f>SUM(AN19:AS28)</f>
        <v>0</v>
      </c>
      <c r="AO29" s="2652"/>
      <c r="AP29" s="2652"/>
      <c r="AQ29" s="2652"/>
      <c r="AR29" s="2652"/>
      <c r="AS29" s="2653"/>
      <c r="AT29" s="2655">
        <f>J29/$J$29</f>
        <v>1</v>
      </c>
      <c r="AU29" s="2656"/>
      <c r="AV29" s="2656"/>
      <c r="AW29" s="2656"/>
      <c r="AX29" s="2656"/>
      <c r="AY29" s="2657"/>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661" t="s">
        <v>2067</v>
      </c>
      <c r="C31" s="2662"/>
      <c r="D31" s="2662"/>
      <c r="E31" s="2662"/>
      <c r="F31" s="2662"/>
      <c r="G31" s="2662"/>
      <c r="H31" s="2662"/>
      <c r="I31" s="2662"/>
      <c r="J31" s="2662"/>
      <c r="K31" s="2662"/>
      <c r="L31" s="2662"/>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2662"/>
      <c r="AT31" s="2662"/>
      <c r="AU31" s="2662"/>
      <c r="AV31" s="2662"/>
      <c r="AW31" s="2662"/>
      <c r="AX31" s="2662"/>
      <c r="AY31" s="2662"/>
      <c r="AZ31" s="2663"/>
      <c r="BA31" s="1531"/>
      <c r="BB31" s="1531"/>
      <c r="BC31" s="1531"/>
      <c r="BD31" s="1531"/>
      <c r="BE31" s="1537"/>
    </row>
    <row r="32" spans="1:58" ht="15" thickBot="1">
      <c r="A32" s="1836"/>
      <c r="B32" s="2664" t="s">
        <v>2068</v>
      </c>
      <c r="C32" s="2665"/>
      <c r="D32" s="2665"/>
      <c r="E32" s="2665"/>
      <c r="F32" s="2665"/>
      <c r="G32" s="2665"/>
      <c r="H32" s="2665"/>
      <c r="I32" s="2666"/>
      <c r="J32" s="2668" t="s">
        <v>2069</v>
      </c>
      <c r="K32" s="2669"/>
      <c r="L32" s="2669"/>
      <c r="M32" s="2670"/>
      <c r="N32" s="2668" t="s">
        <v>2070</v>
      </c>
      <c r="O32" s="2669"/>
      <c r="P32" s="2669"/>
      <c r="Q32" s="2669"/>
      <c r="R32" s="2672" t="s">
        <v>2071</v>
      </c>
      <c r="S32" s="2673"/>
      <c r="T32" s="2673"/>
      <c r="U32" s="2673"/>
      <c r="V32" s="2673"/>
      <c r="W32" s="2673"/>
      <c r="X32" s="2673"/>
      <c r="Y32" s="2673"/>
      <c r="Z32" s="2673"/>
      <c r="AA32" s="2673"/>
      <c r="AB32" s="2673"/>
      <c r="AC32" s="2673"/>
      <c r="AD32" s="2673"/>
      <c r="AE32" s="2673"/>
      <c r="AF32" s="2673"/>
      <c r="AG32" s="2673"/>
      <c r="AH32" s="2673"/>
      <c r="AI32" s="2673"/>
      <c r="AJ32" s="2673"/>
      <c r="AK32" s="2673"/>
      <c r="AL32" s="2673"/>
      <c r="AM32" s="2673"/>
      <c r="AN32" s="2673"/>
      <c r="AO32" s="2673"/>
      <c r="AP32" s="2673"/>
      <c r="AQ32" s="2673"/>
      <c r="AR32" s="2673"/>
      <c r="AS32" s="2673"/>
      <c r="AT32" s="2673"/>
      <c r="AU32" s="2673"/>
      <c r="AV32" s="2673"/>
      <c r="AW32" s="2673"/>
      <c r="AX32" s="2673"/>
      <c r="AY32" s="2673"/>
      <c r="AZ32" s="2674"/>
      <c r="BA32" s="1531"/>
      <c r="BB32" s="1531"/>
      <c r="BC32" s="1531"/>
      <c r="BD32" s="1531"/>
      <c r="BE32" s="1537"/>
    </row>
    <row r="33" spans="1:58" ht="15" customHeight="1">
      <c r="A33" s="1836"/>
      <c r="B33" s="2667"/>
      <c r="C33" s="2665"/>
      <c r="D33" s="2665"/>
      <c r="E33" s="2665"/>
      <c r="F33" s="2665"/>
      <c r="G33" s="2665"/>
      <c r="H33" s="2665"/>
      <c r="I33" s="2666"/>
      <c r="J33" s="2671"/>
      <c r="K33" s="2669"/>
      <c r="L33" s="2669"/>
      <c r="M33" s="2670"/>
      <c r="N33" s="2671"/>
      <c r="O33" s="2669"/>
      <c r="P33" s="2669"/>
      <c r="Q33" s="2669"/>
      <c r="R33" s="2675" t="s">
        <v>2072</v>
      </c>
      <c r="S33" s="2676"/>
      <c r="T33" s="2676"/>
      <c r="U33" s="2676"/>
      <c r="V33" s="2676"/>
      <c r="W33" s="2676"/>
      <c r="X33" s="2676"/>
      <c r="Y33" s="2676"/>
      <c r="Z33" s="2676"/>
      <c r="AA33" s="2676"/>
      <c r="AB33" s="2676"/>
      <c r="AC33" s="2676"/>
      <c r="AD33" s="2676"/>
      <c r="AE33" s="2676"/>
      <c r="AF33" s="2676"/>
      <c r="AG33" s="2676"/>
      <c r="AH33" s="2676"/>
      <c r="AI33" s="2676"/>
      <c r="AJ33" s="2676"/>
      <c r="AK33" s="2676"/>
      <c r="AL33" s="2676"/>
      <c r="AM33" s="2676"/>
      <c r="AN33" s="2676"/>
      <c r="AO33" s="2676"/>
      <c r="AP33" s="2676"/>
      <c r="AQ33" s="2676"/>
      <c r="AR33" s="2676"/>
      <c r="AS33" s="2676"/>
      <c r="AT33" s="2676"/>
      <c r="AU33" s="2676"/>
      <c r="AV33" s="2676"/>
      <c r="AW33" s="2676"/>
      <c r="AX33" s="2676"/>
      <c r="AY33" s="2676"/>
      <c r="AZ33" s="2677"/>
      <c r="BA33" s="1538"/>
      <c r="BB33" s="1531"/>
      <c r="BC33" s="1531"/>
      <c r="BD33" s="1531"/>
      <c r="BE33" s="1537"/>
    </row>
    <row r="34" spans="1:58" ht="15.75" customHeight="1" thickBot="1">
      <c r="A34" s="1836"/>
      <c r="B34" s="2667"/>
      <c r="C34" s="2665"/>
      <c r="D34" s="2665"/>
      <c r="E34" s="2665"/>
      <c r="F34" s="2665"/>
      <c r="G34" s="2665"/>
      <c r="H34" s="2665"/>
      <c r="I34" s="2666"/>
      <c r="J34" s="2671"/>
      <c r="K34" s="2669"/>
      <c r="L34" s="2669"/>
      <c r="M34" s="2670"/>
      <c r="N34" s="2671"/>
      <c r="O34" s="2669"/>
      <c r="P34" s="2669"/>
      <c r="Q34" s="2669"/>
      <c r="R34" s="2678"/>
      <c r="S34" s="2679"/>
      <c r="T34" s="2679"/>
      <c r="U34" s="2679"/>
      <c r="V34" s="2679"/>
      <c r="W34" s="2679"/>
      <c r="X34" s="2679"/>
      <c r="Y34" s="2679"/>
      <c r="Z34" s="2679"/>
      <c r="AA34" s="2679"/>
      <c r="AB34" s="2679"/>
      <c r="AC34" s="2679"/>
      <c r="AD34" s="2679"/>
      <c r="AE34" s="2679"/>
      <c r="AF34" s="2679"/>
      <c r="AG34" s="2679"/>
      <c r="AH34" s="2679"/>
      <c r="AI34" s="2679"/>
      <c r="AJ34" s="2679"/>
      <c r="AK34" s="2679"/>
      <c r="AL34" s="2679"/>
      <c r="AM34" s="2679"/>
      <c r="AN34" s="2679"/>
      <c r="AO34" s="2679"/>
      <c r="AP34" s="2679"/>
      <c r="AQ34" s="2679"/>
      <c r="AR34" s="2679"/>
      <c r="AS34" s="2679"/>
      <c r="AT34" s="2679"/>
      <c r="AU34" s="2679"/>
      <c r="AV34" s="2679"/>
      <c r="AW34" s="2679"/>
      <c r="AX34" s="2679"/>
      <c r="AY34" s="2679"/>
      <c r="AZ34" s="2680"/>
      <c r="BA34" s="1538"/>
      <c r="BB34" s="1531"/>
      <c r="BC34" s="1531"/>
      <c r="BD34" s="1531"/>
      <c r="BE34" s="1537"/>
    </row>
    <row r="35" spans="1:58" ht="15.75" customHeight="1" thickBot="1">
      <c r="A35" s="1836"/>
      <c r="B35" s="2667"/>
      <c r="C35" s="2665"/>
      <c r="D35" s="2665"/>
      <c r="E35" s="2665"/>
      <c r="F35" s="2665"/>
      <c r="G35" s="2665"/>
      <c r="H35" s="2665"/>
      <c r="I35" s="2666"/>
      <c r="J35" s="2671"/>
      <c r="K35" s="2669"/>
      <c r="L35" s="2669"/>
      <c r="M35" s="2670"/>
      <c r="N35" s="2671"/>
      <c r="O35" s="2669"/>
      <c r="P35" s="2669"/>
      <c r="Q35" s="2669"/>
      <c r="R35" s="2681">
        <v>0.5</v>
      </c>
      <c r="S35" s="2682"/>
      <c r="T35" s="2682"/>
      <c r="U35" s="2683"/>
      <c r="V35" s="2681">
        <v>0.6</v>
      </c>
      <c r="W35" s="2682"/>
      <c r="X35" s="2682"/>
      <c r="Y35" s="2683"/>
      <c r="Z35" s="2681">
        <v>0.7</v>
      </c>
      <c r="AA35" s="2682"/>
      <c r="AB35" s="2682"/>
      <c r="AC35" s="2683"/>
      <c r="AD35" s="2681">
        <v>0.8</v>
      </c>
      <c r="AE35" s="2682"/>
      <c r="AF35" s="2682"/>
      <c r="AG35" s="2683"/>
      <c r="AH35" s="2681">
        <v>1</v>
      </c>
      <c r="AI35" s="2682"/>
      <c r="AJ35" s="2682"/>
      <c r="AK35" s="2683"/>
      <c r="AL35" s="2681">
        <v>1.2</v>
      </c>
      <c r="AM35" s="2682"/>
      <c r="AN35" s="2683"/>
      <c r="AO35" s="2693" t="s">
        <v>2073</v>
      </c>
      <c r="AP35" s="2694"/>
      <c r="AQ35" s="2694"/>
      <c r="AR35" s="2694"/>
      <c r="AS35" s="2694"/>
      <c r="AT35" s="2695"/>
      <c r="AU35" s="2693" t="s">
        <v>2074</v>
      </c>
      <c r="AV35" s="2694"/>
      <c r="AW35" s="2694"/>
      <c r="AX35" s="2694"/>
      <c r="AY35" s="2694"/>
      <c r="AZ35" s="2695"/>
      <c r="BA35" s="1538"/>
      <c r="BB35" s="1531"/>
      <c r="BC35" s="1531"/>
      <c r="BD35" s="1531"/>
      <c r="BE35" s="1537"/>
      <c r="BF35" s="1529"/>
    </row>
    <row r="36" spans="1:58" ht="15.75" customHeight="1">
      <c r="A36" s="1836"/>
      <c r="B36" s="2696" t="s">
        <v>2075</v>
      </c>
      <c r="C36" s="2697"/>
      <c r="D36" s="2697"/>
      <c r="E36" s="2697"/>
      <c r="F36" s="2697"/>
      <c r="G36" s="2697"/>
      <c r="H36" s="2697"/>
      <c r="I36" s="2698"/>
      <c r="J36" s="2699"/>
      <c r="K36" s="2700"/>
      <c r="L36" s="2700"/>
      <c r="M36" s="2701"/>
      <c r="N36" s="2702"/>
      <c r="O36" s="2703"/>
      <c r="P36" s="2703"/>
      <c r="Q36" s="2704"/>
      <c r="R36" s="2705"/>
      <c r="S36" s="2705"/>
      <c r="T36" s="2705"/>
      <c r="U36" s="2705"/>
      <c r="V36" s="2705"/>
      <c r="W36" s="2705"/>
      <c r="X36" s="2705"/>
      <c r="Y36" s="2705"/>
      <c r="Z36" s="2705"/>
      <c r="AA36" s="2705"/>
      <c r="AB36" s="2705"/>
      <c r="AC36" s="2705"/>
      <c r="AD36" s="2705"/>
      <c r="AE36" s="2705"/>
      <c r="AF36" s="2705"/>
      <c r="AG36" s="2705"/>
      <c r="AH36" s="2708"/>
      <c r="AI36" s="2708"/>
      <c r="AJ36" s="2708"/>
      <c r="AK36" s="2708"/>
      <c r="AL36" s="2708"/>
      <c r="AM36" s="2708"/>
      <c r="AN36" s="2708"/>
      <c r="AO36" s="2706">
        <f>SUM(R36:AN36)</f>
        <v>0</v>
      </c>
      <c r="AP36" s="2706"/>
      <c r="AQ36" s="2706"/>
      <c r="AR36" s="2706"/>
      <c r="AS36" s="2706"/>
      <c r="AT36" s="2706"/>
      <c r="AU36" s="2707">
        <f>AO36/$J$29</f>
        <v>0</v>
      </c>
      <c r="AV36" s="2707"/>
      <c r="AW36" s="2707"/>
      <c r="AX36" s="2707"/>
      <c r="AY36" s="2707"/>
      <c r="AZ36" s="2707"/>
      <c r="BA36" s="1531"/>
      <c r="BB36" s="1531"/>
      <c r="BC36" s="1531"/>
      <c r="BD36" s="1531"/>
      <c r="BE36" s="1537"/>
      <c r="BF36" s="1529"/>
    </row>
    <row r="37" spans="1:58" ht="15.75" customHeight="1">
      <c r="A37" s="1836"/>
      <c r="B37" s="2684" t="s">
        <v>2076</v>
      </c>
      <c r="C37" s="2685"/>
      <c r="D37" s="2685"/>
      <c r="E37" s="2685"/>
      <c r="F37" s="2685"/>
      <c r="G37" s="2685"/>
      <c r="H37" s="2685"/>
      <c r="I37" s="2686"/>
      <c r="J37" s="2687"/>
      <c r="K37" s="2688"/>
      <c r="L37" s="2688"/>
      <c r="M37" s="2689"/>
      <c r="N37" s="2690"/>
      <c r="O37" s="2688"/>
      <c r="P37" s="2688"/>
      <c r="Q37" s="2691"/>
      <c r="R37" s="2692"/>
      <c r="S37" s="2692"/>
      <c r="T37" s="2692"/>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706">
        <f t="shared" ref="AO37:AO47" si="4">SUM(R37:AN37)</f>
        <v>0</v>
      </c>
      <c r="AP37" s="2706"/>
      <c r="AQ37" s="2706"/>
      <c r="AR37" s="2706"/>
      <c r="AS37" s="2706"/>
      <c r="AT37" s="2706"/>
      <c r="AU37" s="2707">
        <f t="shared" ref="AU37:AU47" si="5">AO37/$J$29</f>
        <v>0</v>
      </c>
      <c r="AV37" s="2707"/>
      <c r="AW37" s="2707"/>
      <c r="AX37" s="2707"/>
      <c r="AY37" s="2707"/>
      <c r="AZ37" s="2707"/>
      <c r="BA37" s="1531"/>
      <c r="BB37" s="1531"/>
      <c r="BC37" s="1531"/>
      <c r="BD37" s="1531"/>
      <c r="BE37" s="1537"/>
      <c r="BF37" s="1529"/>
    </row>
    <row r="38" spans="1:58" ht="15.75" customHeight="1">
      <c r="A38" s="1836"/>
      <c r="B38" s="2684" t="s">
        <v>2077</v>
      </c>
      <c r="C38" s="2685"/>
      <c r="D38" s="2685"/>
      <c r="E38" s="2685"/>
      <c r="F38" s="2685"/>
      <c r="G38" s="2685"/>
      <c r="H38" s="2685"/>
      <c r="I38" s="2686"/>
      <c r="J38" s="2687"/>
      <c r="K38" s="2688"/>
      <c r="L38" s="2688"/>
      <c r="M38" s="2689"/>
      <c r="N38" s="2690"/>
      <c r="O38" s="2688"/>
      <c r="P38" s="2688"/>
      <c r="Q38" s="2691"/>
      <c r="R38" s="2692"/>
      <c r="S38" s="2692"/>
      <c r="T38" s="2692"/>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706">
        <f t="shared" si="4"/>
        <v>0</v>
      </c>
      <c r="AP38" s="2706"/>
      <c r="AQ38" s="2706"/>
      <c r="AR38" s="2706"/>
      <c r="AS38" s="2706"/>
      <c r="AT38" s="2706"/>
      <c r="AU38" s="2707">
        <f t="shared" si="5"/>
        <v>0</v>
      </c>
      <c r="AV38" s="2707"/>
      <c r="AW38" s="2707"/>
      <c r="AX38" s="2707"/>
      <c r="AY38" s="2707"/>
      <c r="AZ38" s="2707"/>
      <c r="BA38" s="1531"/>
      <c r="BB38" s="1531"/>
      <c r="BC38" s="1531"/>
      <c r="BD38" s="1531"/>
      <c r="BE38" s="1537"/>
      <c r="BF38" s="1529"/>
    </row>
    <row r="39" spans="1:58" ht="15.75" customHeight="1">
      <c r="A39" s="1836"/>
      <c r="B39" s="2684" t="s">
        <v>2078</v>
      </c>
      <c r="C39" s="2685"/>
      <c r="D39" s="2685"/>
      <c r="E39" s="2685"/>
      <c r="F39" s="2685"/>
      <c r="G39" s="2685"/>
      <c r="H39" s="2685"/>
      <c r="I39" s="2686"/>
      <c r="J39" s="2709"/>
      <c r="K39" s="2710"/>
      <c r="L39" s="2710"/>
      <c r="M39" s="2711"/>
      <c r="N39" s="2712"/>
      <c r="O39" s="2710"/>
      <c r="P39" s="2710"/>
      <c r="Q39" s="2713"/>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706">
        <f t="shared" si="4"/>
        <v>0</v>
      </c>
      <c r="AP39" s="2706"/>
      <c r="AQ39" s="2706"/>
      <c r="AR39" s="2706"/>
      <c r="AS39" s="2706"/>
      <c r="AT39" s="2706"/>
      <c r="AU39" s="2707">
        <f t="shared" si="5"/>
        <v>0</v>
      </c>
      <c r="AV39" s="2707"/>
      <c r="AW39" s="2707"/>
      <c r="AX39" s="2707"/>
      <c r="AY39" s="2707"/>
      <c r="AZ39" s="2707"/>
      <c r="BA39" s="1531"/>
      <c r="BB39" s="1531"/>
      <c r="BC39" s="1531"/>
      <c r="BD39" s="1531"/>
      <c r="BE39" s="1537"/>
    </row>
    <row r="40" spans="1:58" ht="15.75" customHeight="1">
      <c r="A40" s="1836"/>
      <c r="B40" s="2684" t="s">
        <v>2078</v>
      </c>
      <c r="C40" s="2685"/>
      <c r="D40" s="2685"/>
      <c r="E40" s="2685"/>
      <c r="F40" s="2685"/>
      <c r="G40" s="2685"/>
      <c r="H40" s="2685"/>
      <c r="I40" s="2686"/>
      <c r="J40" s="2709"/>
      <c r="K40" s="2710"/>
      <c r="L40" s="2710"/>
      <c r="M40" s="2711"/>
      <c r="N40" s="2712"/>
      <c r="O40" s="2710"/>
      <c r="P40" s="2710"/>
      <c r="Q40" s="2713"/>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706">
        <f t="shared" si="4"/>
        <v>0</v>
      </c>
      <c r="AP40" s="2706"/>
      <c r="AQ40" s="2706"/>
      <c r="AR40" s="2706"/>
      <c r="AS40" s="2706"/>
      <c r="AT40" s="2706"/>
      <c r="AU40" s="2707">
        <f t="shared" si="5"/>
        <v>0</v>
      </c>
      <c r="AV40" s="2707"/>
      <c r="AW40" s="2707"/>
      <c r="AX40" s="2707"/>
      <c r="AY40" s="2707"/>
      <c r="AZ40" s="2707"/>
      <c r="BA40" s="1531"/>
      <c r="BB40" s="1531"/>
      <c r="BC40" s="1531"/>
      <c r="BD40" s="1531"/>
      <c r="BE40" s="1537"/>
    </row>
    <row r="41" spans="1:58" ht="15.75" customHeight="1">
      <c r="A41" s="1836"/>
      <c r="B41" s="2714" t="s">
        <v>2079</v>
      </c>
      <c r="C41" s="2715"/>
      <c r="D41" s="2715"/>
      <c r="E41" s="2715"/>
      <c r="F41" s="2715"/>
      <c r="G41" s="2715"/>
      <c r="H41" s="2715"/>
      <c r="I41" s="2716"/>
      <c r="J41" s="2709"/>
      <c r="K41" s="2710"/>
      <c r="L41" s="2710"/>
      <c r="M41" s="2711"/>
      <c r="N41" s="2712"/>
      <c r="O41" s="2710"/>
      <c r="P41" s="2710"/>
      <c r="Q41" s="2713"/>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706">
        <f t="shared" si="4"/>
        <v>0</v>
      </c>
      <c r="AP41" s="2706"/>
      <c r="AQ41" s="2706"/>
      <c r="AR41" s="2706"/>
      <c r="AS41" s="2706"/>
      <c r="AT41" s="2706"/>
      <c r="AU41" s="2707">
        <f t="shared" si="5"/>
        <v>0</v>
      </c>
      <c r="AV41" s="2707"/>
      <c r="AW41" s="2707"/>
      <c r="AX41" s="2707"/>
      <c r="AY41" s="2707"/>
      <c r="AZ41" s="2707"/>
      <c r="BA41" s="1531"/>
      <c r="BB41" s="1531"/>
      <c r="BC41" s="1531"/>
      <c r="BD41" s="1531"/>
      <c r="BE41" s="1537"/>
    </row>
    <row r="42" spans="1:58" ht="15.75" customHeight="1">
      <c r="A42" s="1836"/>
      <c r="B42" s="2714" t="s">
        <v>2079</v>
      </c>
      <c r="C42" s="2715"/>
      <c r="D42" s="2715"/>
      <c r="E42" s="2715"/>
      <c r="F42" s="2715"/>
      <c r="G42" s="2715"/>
      <c r="H42" s="2715"/>
      <c r="I42" s="2716"/>
      <c r="J42" s="2709"/>
      <c r="K42" s="2710"/>
      <c r="L42" s="2710"/>
      <c r="M42" s="2711"/>
      <c r="N42" s="2712"/>
      <c r="O42" s="2710"/>
      <c r="P42" s="2710"/>
      <c r="Q42" s="2713"/>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706">
        <f t="shared" si="4"/>
        <v>0</v>
      </c>
      <c r="AP42" s="2706"/>
      <c r="AQ42" s="2706"/>
      <c r="AR42" s="2706"/>
      <c r="AS42" s="2706"/>
      <c r="AT42" s="2706"/>
      <c r="AU42" s="2707">
        <f t="shared" si="5"/>
        <v>0</v>
      </c>
      <c r="AV42" s="2707"/>
      <c r="AW42" s="2707"/>
      <c r="AX42" s="2707"/>
      <c r="AY42" s="2707"/>
      <c r="AZ42" s="2707"/>
      <c r="BA42" s="1531"/>
      <c r="BB42" s="1531"/>
      <c r="BC42" s="1531"/>
      <c r="BD42" s="1531"/>
      <c r="BE42" s="1537"/>
    </row>
    <row r="43" spans="1:58" ht="15.75" customHeight="1">
      <c r="A43" s="1836"/>
      <c r="B43" s="2717" t="s">
        <v>2080</v>
      </c>
      <c r="C43" s="2718"/>
      <c r="D43" s="2718"/>
      <c r="E43" s="2718"/>
      <c r="F43" s="2718"/>
      <c r="G43" s="2718"/>
      <c r="H43" s="2718"/>
      <c r="I43" s="2719"/>
      <c r="J43" s="2709"/>
      <c r="K43" s="2710"/>
      <c r="L43" s="2710"/>
      <c r="M43" s="2711"/>
      <c r="N43" s="2712"/>
      <c r="O43" s="2710"/>
      <c r="P43" s="2710"/>
      <c r="Q43" s="2713"/>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706">
        <f t="shared" si="4"/>
        <v>0</v>
      </c>
      <c r="AP43" s="2706"/>
      <c r="AQ43" s="2706"/>
      <c r="AR43" s="2706"/>
      <c r="AS43" s="2706"/>
      <c r="AT43" s="2706"/>
      <c r="AU43" s="2707">
        <f t="shared" si="5"/>
        <v>0</v>
      </c>
      <c r="AV43" s="2707"/>
      <c r="AW43" s="2707"/>
      <c r="AX43" s="2707"/>
      <c r="AY43" s="2707"/>
      <c r="AZ43" s="2707"/>
      <c r="BA43" s="1531"/>
      <c r="BB43" s="1531"/>
      <c r="BC43" s="1531"/>
      <c r="BD43" s="1531"/>
      <c r="BE43" s="1537"/>
    </row>
    <row r="44" spans="1:58" ht="15.75" customHeight="1">
      <c r="A44" s="1836"/>
      <c r="B44" s="2717" t="s">
        <v>2081</v>
      </c>
      <c r="C44" s="2718"/>
      <c r="D44" s="2718"/>
      <c r="E44" s="2718"/>
      <c r="F44" s="2718"/>
      <c r="G44" s="2718"/>
      <c r="H44" s="2718"/>
      <c r="I44" s="2719"/>
      <c r="J44" s="2709"/>
      <c r="K44" s="2710"/>
      <c r="L44" s="2710"/>
      <c r="M44" s="2711"/>
      <c r="N44" s="2712"/>
      <c r="O44" s="2710"/>
      <c r="P44" s="2710"/>
      <c r="Q44" s="2713"/>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706">
        <f t="shared" si="4"/>
        <v>0</v>
      </c>
      <c r="AP44" s="2706"/>
      <c r="AQ44" s="2706"/>
      <c r="AR44" s="2706"/>
      <c r="AS44" s="2706"/>
      <c r="AT44" s="2706"/>
      <c r="AU44" s="2707">
        <f t="shared" si="5"/>
        <v>0</v>
      </c>
      <c r="AV44" s="2707"/>
      <c r="AW44" s="2707"/>
      <c r="AX44" s="2707"/>
      <c r="AY44" s="2707"/>
      <c r="AZ44" s="2707"/>
      <c r="BA44" s="1531"/>
      <c r="BB44" s="1531"/>
      <c r="BC44" s="1531"/>
      <c r="BD44" s="1531"/>
      <c r="BE44" s="1537"/>
    </row>
    <row r="45" spans="1:58" ht="15.75" customHeight="1">
      <c r="A45" s="1836"/>
      <c r="B45" s="2720" t="s">
        <v>2082</v>
      </c>
      <c r="C45" s="2721"/>
      <c r="D45" s="2721"/>
      <c r="E45" s="2721"/>
      <c r="F45" s="2721"/>
      <c r="G45" s="2721"/>
      <c r="H45" s="2721"/>
      <c r="I45" s="2722"/>
      <c r="J45" s="2709"/>
      <c r="K45" s="2710"/>
      <c r="L45" s="2710"/>
      <c r="M45" s="2711"/>
      <c r="N45" s="2712"/>
      <c r="O45" s="2710"/>
      <c r="P45" s="2710"/>
      <c r="Q45" s="2713"/>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706">
        <f t="shared" si="4"/>
        <v>0</v>
      </c>
      <c r="AP45" s="2706"/>
      <c r="AQ45" s="2706"/>
      <c r="AR45" s="2706"/>
      <c r="AS45" s="2706"/>
      <c r="AT45" s="2706"/>
      <c r="AU45" s="2707">
        <f t="shared" si="5"/>
        <v>0</v>
      </c>
      <c r="AV45" s="2707"/>
      <c r="AW45" s="2707"/>
      <c r="AX45" s="2707"/>
      <c r="AY45" s="2707"/>
      <c r="AZ45" s="2707"/>
      <c r="BA45" s="1531"/>
      <c r="BB45" s="1531"/>
      <c r="BC45" s="1531"/>
      <c r="BD45" s="1531"/>
      <c r="BE45" s="1537"/>
    </row>
    <row r="46" spans="1:58" ht="15.75" customHeight="1">
      <c r="A46" s="1836"/>
      <c r="B46" s="2720" t="s">
        <v>2083</v>
      </c>
      <c r="C46" s="2721"/>
      <c r="D46" s="2721"/>
      <c r="E46" s="2721"/>
      <c r="F46" s="2721"/>
      <c r="G46" s="2721"/>
      <c r="H46" s="2721"/>
      <c r="I46" s="2722"/>
      <c r="J46" s="2709"/>
      <c r="K46" s="2710"/>
      <c r="L46" s="2710"/>
      <c r="M46" s="2711"/>
      <c r="N46" s="2690"/>
      <c r="O46" s="2688"/>
      <c r="P46" s="2688"/>
      <c r="Q46" s="2691"/>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706">
        <f t="shared" si="4"/>
        <v>0</v>
      </c>
      <c r="AP46" s="2706"/>
      <c r="AQ46" s="2706"/>
      <c r="AR46" s="2706"/>
      <c r="AS46" s="2706"/>
      <c r="AT46" s="2706"/>
      <c r="AU46" s="2707">
        <f t="shared" si="5"/>
        <v>0</v>
      </c>
      <c r="AV46" s="2707"/>
      <c r="AW46" s="2707"/>
      <c r="AX46" s="2707"/>
      <c r="AY46" s="2707"/>
      <c r="AZ46" s="2707"/>
      <c r="BA46" s="1531"/>
      <c r="BB46" s="1531"/>
      <c r="BC46" s="1531"/>
      <c r="BD46" s="1531"/>
      <c r="BE46" s="1537"/>
    </row>
    <row r="47" spans="1:58" ht="15.75" customHeight="1" thickBot="1">
      <c r="A47" s="1836"/>
      <c r="B47" s="2723" t="s">
        <v>310</v>
      </c>
      <c r="C47" s="2724"/>
      <c r="D47" s="2724"/>
      <c r="E47" s="2724"/>
      <c r="F47" s="2724"/>
      <c r="G47" s="2724"/>
      <c r="H47" s="2724"/>
      <c r="I47" s="2725"/>
      <c r="J47" s="2726"/>
      <c r="K47" s="2727"/>
      <c r="L47" s="2727"/>
      <c r="M47" s="2728"/>
      <c r="N47" s="2729"/>
      <c r="O47" s="2727"/>
      <c r="P47" s="2727"/>
      <c r="Q47" s="2730"/>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706">
        <f t="shared" si="4"/>
        <v>0</v>
      </c>
      <c r="AP47" s="2706"/>
      <c r="AQ47" s="2706"/>
      <c r="AR47" s="2706"/>
      <c r="AS47" s="2706"/>
      <c r="AT47" s="2706"/>
      <c r="AU47" s="2707">
        <f t="shared" si="5"/>
        <v>0</v>
      </c>
      <c r="AV47" s="2707"/>
      <c r="AW47" s="2707"/>
      <c r="AX47" s="2707"/>
      <c r="AY47" s="2707"/>
      <c r="AZ47" s="2707"/>
      <c r="BA47" s="1531"/>
      <c r="BB47" s="1531"/>
      <c r="BC47" s="1531"/>
      <c r="BD47" s="1531"/>
      <c r="BE47" s="1537"/>
    </row>
    <row r="48" spans="1:58" ht="15.75" customHeight="1">
      <c r="A48" s="1836"/>
      <c r="B48" s="1539" t="s">
        <v>2084</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2085</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1" t="s">
        <v>2086</v>
      </c>
      <c r="C50" s="2732"/>
      <c r="D50" s="2732"/>
      <c r="E50" s="2732"/>
      <c r="F50" s="2732"/>
      <c r="G50" s="2732"/>
      <c r="H50" s="2732"/>
      <c r="I50" s="2732"/>
      <c r="J50" s="2732"/>
      <c r="K50" s="2732"/>
      <c r="L50" s="2732"/>
      <c r="M50" s="2732"/>
      <c r="N50" s="2732"/>
      <c r="O50" s="2732"/>
      <c r="P50" s="2732"/>
      <c r="Q50" s="2732"/>
      <c r="R50" s="2732"/>
      <c r="S50" s="2732"/>
      <c r="T50" s="2732"/>
      <c r="U50" s="2732"/>
      <c r="V50" s="2732"/>
      <c r="W50" s="2732"/>
      <c r="X50" s="2732"/>
      <c r="Y50" s="2732"/>
      <c r="Z50" s="2732"/>
      <c r="AA50" s="2732"/>
      <c r="AB50" s="2732"/>
      <c r="AC50" s="2732"/>
      <c r="AD50" s="2732"/>
      <c r="AE50" s="2732"/>
      <c r="AF50" s="2732"/>
      <c r="AG50" s="2732"/>
      <c r="AH50" s="2732"/>
      <c r="AI50" s="2732"/>
      <c r="AJ50" s="2732"/>
      <c r="AK50" s="2732"/>
      <c r="AL50" s="2732"/>
      <c r="AM50" s="2732"/>
      <c r="AN50" s="2732"/>
      <c r="AO50" s="273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4" t="s">
        <v>2087</v>
      </c>
      <c r="C51" s="2735"/>
      <c r="D51" s="2735"/>
      <c r="E51" s="2735"/>
      <c r="F51" s="2735"/>
      <c r="G51" s="2735"/>
      <c r="H51" s="2735"/>
      <c r="I51" s="2736"/>
      <c r="J51" s="2734" t="s">
        <v>2088</v>
      </c>
      <c r="K51" s="2735"/>
      <c r="L51" s="2735"/>
      <c r="M51" s="2735"/>
      <c r="N51" s="2735"/>
      <c r="O51" s="2735"/>
      <c r="P51" s="2735"/>
      <c r="Q51" s="2736"/>
      <c r="R51" s="2737" t="s">
        <v>2089</v>
      </c>
      <c r="S51" s="2738"/>
      <c r="T51" s="2738"/>
      <c r="U51" s="2738"/>
      <c r="V51" s="2738"/>
      <c r="W51" s="2738"/>
      <c r="X51" s="2738"/>
      <c r="Y51" s="2739"/>
      <c r="Z51" s="2740" t="s">
        <v>2090</v>
      </c>
      <c r="AA51" s="2741"/>
      <c r="AB51" s="2741"/>
      <c r="AC51" s="2741"/>
      <c r="AD51" s="2741"/>
      <c r="AE51" s="2741"/>
      <c r="AF51" s="2741"/>
      <c r="AG51" s="2742"/>
      <c r="AH51" s="2740" t="s">
        <v>2091</v>
      </c>
      <c r="AI51" s="2741"/>
      <c r="AJ51" s="2741"/>
      <c r="AK51" s="2741"/>
      <c r="AL51" s="2741"/>
      <c r="AM51" s="2741"/>
      <c r="AN51" s="2741"/>
      <c r="AO51" s="274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3"/>
      <c r="C52" s="2744"/>
      <c r="D52" s="2744"/>
      <c r="E52" s="2744"/>
      <c r="F52" s="2744"/>
      <c r="G52" s="2744"/>
      <c r="H52" s="2744"/>
      <c r="I52" s="2744"/>
      <c r="J52" s="2744"/>
      <c r="K52" s="2744"/>
      <c r="L52" s="2744"/>
      <c r="M52" s="2744"/>
      <c r="N52" s="2744"/>
      <c r="O52" s="2744"/>
      <c r="P52" s="2744"/>
      <c r="Q52" s="2744"/>
      <c r="R52" s="2745"/>
      <c r="S52" s="2745"/>
      <c r="T52" s="2745"/>
      <c r="U52" s="2745"/>
      <c r="V52" s="2745"/>
      <c r="W52" s="2745"/>
      <c r="X52" s="2745"/>
      <c r="Y52" s="2745"/>
      <c r="Z52" s="2744"/>
      <c r="AA52" s="2744"/>
      <c r="AB52" s="2744"/>
      <c r="AC52" s="2744"/>
      <c r="AD52" s="2744"/>
      <c r="AE52" s="2744"/>
      <c r="AF52" s="2744"/>
      <c r="AG52" s="2744"/>
      <c r="AH52" s="2744"/>
      <c r="AI52" s="2744"/>
      <c r="AJ52" s="2744"/>
      <c r="AK52" s="2744"/>
      <c r="AL52" s="2744"/>
      <c r="AM52" s="2744"/>
      <c r="AN52" s="2744"/>
      <c r="AO52" s="2746"/>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3"/>
      <c r="C53" s="2744"/>
      <c r="D53" s="2744"/>
      <c r="E53" s="2744"/>
      <c r="F53" s="2744"/>
      <c r="G53" s="2744"/>
      <c r="H53" s="2744"/>
      <c r="I53" s="2744"/>
      <c r="J53" s="2744"/>
      <c r="K53" s="2744"/>
      <c r="L53" s="2744"/>
      <c r="M53" s="2744"/>
      <c r="N53" s="2744"/>
      <c r="O53" s="2744"/>
      <c r="P53" s="2744"/>
      <c r="Q53" s="2744"/>
      <c r="R53" s="2745"/>
      <c r="S53" s="2745"/>
      <c r="T53" s="2745"/>
      <c r="U53" s="2745"/>
      <c r="V53" s="2745"/>
      <c r="W53" s="2745"/>
      <c r="X53" s="2745"/>
      <c r="Y53" s="2745"/>
      <c r="Z53" s="2744"/>
      <c r="AA53" s="2744"/>
      <c r="AB53" s="2744"/>
      <c r="AC53" s="2744"/>
      <c r="AD53" s="2744"/>
      <c r="AE53" s="2744"/>
      <c r="AF53" s="2744"/>
      <c r="AG53" s="2744"/>
      <c r="AH53" s="2744"/>
      <c r="AI53" s="2744"/>
      <c r="AJ53" s="2744"/>
      <c r="AK53" s="2744"/>
      <c r="AL53" s="2744"/>
      <c r="AM53" s="2744"/>
      <c r="AN53" s="2744"/>
      <c r="AO53" s="2746"/>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3"/>
      <c r="C54" s="2744"/>
      <c r="D54" s="2744"/>
      <c r="E54" s="2744"/>
      <c r="F54" s="2744"/>
      <c r="G54" s="2744"/>
      <c r="H54" s="2744"/>
      <c r="I54" s="2744"/>
      <c r="J54" s="2744"/>
      <c r="K54" s="2744"/>
      <c r="L54" s="2744"/>
      <c r="M54" s="2744"/>
      <c r="N54" s="2744"/>
      <c r="O54" s="2744"/>
      <c r="P54" s="2744"/>
      <c r="Q54" s="2744"/>
      <c r="R54" s="2745"/>
      <c r="S54" s="2745"/>
      <c r="T54" s="2745"/>
      <c r="U54" s="2745"/>
      <c r="V54" s="2745"/>
      <c r="W54" s="2745"/>
      <c r="X54" s="2745"/>
      <c r="Y54" s="2745"/>
      <c r="Z54" s="2744"/>
      <c r="AA54" s="2744"/>
      <c r="AB54" s="2744"/>
      <c r="AC54" s="2744"/>
      <c r="AD54" s="2744"/>
      <c r="AE54" s="2744"/>
      <c r="AF54" s="2744"/>
      <c r="AG54" s="2744"/>
      <c r="AH54" s="2744"/>
      <c r="AI54" s="2744"/>
      <c r="AJ54" s="2744"/>
      <c r="AK54" s="2744"/>
      <c r="AL54" s="2744"/>
      <c r="AM54" s="2744"/>
      <c r="AN54" s="2744"/>
      <c r="AO54" s="2746"/>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3"/>
      <c r="C55" s="2744"/>
      <c r="D55" s="2744"/>
      <c r="E55" s="2744"/>
      <c r="F55" s="2744"/>
      <c r="G55" s="2744"/>
      <c r="H55" s="2744"/>
      <c r="I55" s="2744"/>
      <c r="J55" s="2744"/>
      <c r="K55" s="2744"/>
      <c r="L55" s="2744"/>
      <c r="M55" s="2744"/>
      <c r="N55" s="2744"/>
      <c r="O55" s="2744"/>
      <c r="P55" s="2744"/>
      <c r="Q55" s="2744"/>
      <c r="R55" s="2745"/>
      <c r="S55" s="2745"/>
      <c r="T55" s="2745"/>
      <c r="U55" s="2745"/>
      <c r="V55" s="2745"/>
      <c r="W55" s="2745"/>
      <c r="X55" s="2745"/>
      <c r="Y55" s="2745"/>
      <c r="Z55" s="2744"/>
      <c r="AA55" s="2744"/>
      <c r="AB55" s="2744"/>
      <c r="AC55" s="2744"/>
      <c r="AD55" s="2744"/>
      <c r="AE55" s="2744"/>
      <c r="AF55" s="2744"/>
      <c r="AG55" s="2744"/>
      <c r="AH55" s="2744"/>
      <c r="AI55" s="2744"/>
      <c r="AJ55" s="2744"/>
      <c r="AK55" s="2744"/>
      <c r="AL55" s="2744"/>
      <c r="AM55" s="2744"/>
      <c r="AN55" s="2744"/>
      <c r="AO55" s="2746"/>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6"/>
      <c r="C56" s="2757"/>
      <c r="D56" s="2757"/>
      <c r="E56" s="2757"/>
      <c r="F56" s="2757"/>
      <c r="G56" s="2757"/>
      <c r="H56" s="2757"/>
      <c r="I56" s="2757"/>
      <c r="J56" s="2757"/>
      <c r="K56" s="2757"/>
      <c r="L56" s="2757"/>
      <c r="M56" s="2757"/>
      <c r="N56" s="2757"/>
      <c r="O56" s="2757"/>
      <c r="P56" s="2757"/>
      <c r="Q56" s="2757"/>
      <c r="R56" s="2758"/>
      <c r="S56" s="2758"/>
      <c r="T56" s="2758"/>
      <c r="U56" s="2758"/>
      <c r="V56" s="2758"/>
      <c r="W56" s="2758"/>
      <c r="X56" s="2758"/>
      <c r="Y56" s="2758"/>
      <c r="Z56" s="2757"/>
      <c r="AA56" s="2757"/>
      <c r="AB56" s="2757"/>
      <c r="AC56" s="2757"/>
      <c r="AD56" s="2757"/>
      <c r="AE56" s="2757"/>
      <c r="AF56" s="2757"/>
      <c r="AG56" s="2757"/>
      <c r="AH56" s="2757"/>
      <c r="AI56" s="2757"/>
      <c r="AJ56" s="2757"/>
      <c r="AK56" s="2757"/>
      <c r="AL56" s="2757"/>
      <c r="AM56" s="2757"/>
      <c r="AN56" s="2757"/>
      <c r="AO56" s="275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60" t="s">
        <v>1894</v>
      </c>
      <c r="C57" s="2761"/>
      <c r="D57" s="2761"/>
      <c r="E57" s="2761"/>
      <c r="F57" s="2761"/>
      <c r="G57" s="2761"/>
      <c r="H57" s="2761"/>
      <c r="I57" s="2761"/>
      <c r="J57" s="2761"/>
      <c r="K57" s="2761"/>
      <c r="L57" s="2761"/>
      <c r="M57" s="2761"/>
      <c r="N57" s="2761"/>
      <c r="O57" s="2761"/>
      <c r="P57" s="2761"/>
      <c r="Q57" s="2761"/>
      <c r="R57" s="2762">
        <f>SUM(R52:Y56)</f>
        <v>0</v>
      </c>
      <c r="S57" s="2762"/>
      <c r="T57" s="2762"/>
      <c r="U57" s="2762"/>
      <c r="V57" s="2762"/>
      <c r="W57" s="2762"/>
      <c r="X57" s="2762"/>
      <c r="Y57" s="2762"/>
      <c r="Z57" s="2762">
        <f t="shared" ref="Z57" si="6">SUM(Z52:AG56)</f>
        <v>0</v>
      </c>
      <c r="AA57" s="2762"/>
      <c r="AB57" s="2762"/>
      <c r="AC57" s="2762"/>
      <c r="AD57" s="2762"/>
      <c r="AE57" s="2762"/>
      <c r="AF57" s="2762"/>
      <c r="AG57" s="2762"/>
      <c r="AH57" s="2762">
        <f t="shared" ref="AH57" si="7">SUM(AH52:AO56)</f>
        <v>0</v>
      </c>
      <c r="AI57" s="2762"/>
      <c r="AJ57" s="2762"/>
      <c r="AK57" s="2762"/>
      <c r="AL57" s="2762"/>
      <c r="AM57" s="2762"/>
      <c r="AN57" s="2762"/>
      <c r="AO57" s="276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7" t="s">
        <v>2087</v>
      </c>
      <c r="C59" s="2748"/>
      <c r="D59" s="2748"/>
      <c r="E59" s="2748"/>
      <c r="F59" s="2748"/>
      <c r="G59" s="2748"/>
      <c r="H59" s="2748"/>
      <c r="I59" s="2749"/>
      <c r="J59" s="2750" t="s">
        <v>2092</v>
      </c>
      <c r="K59" s="2750"/>
      <c r="L59" s="2750"/>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1"/>
      <c r="AX59" s="1531"/>
      <c r="AY59" s="1531"/>
      <c r="AZ59" s="1531"/>
      <c r="BA59" s="1531"/>
      <c r="BB59" s="1531"/>
      <c r="BC59" s="1531"/>
      <c r="BD59" s="1531"/>
      <c r="BE59" s="1537"/>
    </row>
    <row r="60" spans="1:58" ht="15.75" customHeight="1">
      <c r="A60" s="1836"/>
      <c r="B60" s="2752" t="str">
        <f>IF(B52="", "", B52)</f>
        <v/>
      </c>
      <c r="C60" s="2753"/>
      <c r="D60" s="2753"/>
      <c r="E60" s="2753"/>
      <c r="F60" s="2753"/>
      <c r="G60" s="2753"/>
      <c r="H60" s="2753"/>
      <c r="I60" s="2754"/>
      <c r="J60" s="2755"/>
      <c r="K60" s="2744"/>
      <c r="L60" s="2744"/>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6"/>
      <c r="AX60" s="1531"/>
      <c r="AY60" s="1531"/>
      <c r="AZ60" s="1531"/>
      <c r="BA60" s="1531"/>
      <c r="BB60" s="1531"/>
      <c r="BC60" s="1531"/>
      <c r="BD60" s="1531"/>
      <c r="BE60" s="1537"/>
    </row>
    <row r="61" spans="1:58" ht="15.75" customHeight="1">
      <c r="A61" s="1836"/>
      <c r="B61" s="2752" t="str">
        <f t="shared" ref="B61:B64" si="8">IF(B53="", "", B53)</f>
        <v/>
      </c>
      <c r="C61" s="2753"/>
      <c r="D61" s="2753"/>
      <c r="E61" s="2753"/>
      <c r="F61" s="2753"/>
      <c r="G61" s="2753"/>
      <c r="H61" s="2753"/>
      <c r="I61" s="2754"/>
      <c r="J61" s="2755"/>
      <c r="K61" s="2744"/>
      <c r="L61" s="2744"/>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6"/>
      <c r="AX61" s="1531"/>
      <c r="AY61" s="1531"/>
      <c r="AZ61" s="1531"/>
      <c r="BA61" s="1531"/>
      <c r="BB61" s="1531"/>
      <c r="BC61" s="1531"/>
      <c r="BD61" s="1531"/>
      <c r="BE61" s="1537"/>
    </row>
    <row r="62" spans="1:58" ht="15.75" customHeight="1">
      <c r="A62" s="1836"/>
      <c r="B62" s="2752" t="str">
        <f t="shared" si="8"/>
        <v/>
      </c>
      <c r="C62" s="2753"/>
      <c r="D62" s="2753"/>
      <c r="E62" s="2753"/>
      <c r="F62" s="2753"/>
      <c r="G62" s="2753"/>
      <c r="H62" s="2753"/>
      <c r="I62" s="2754"/>
      <c r="J62" s="2755"/>
      <c r="K62" s="2744"/>
      <c r="L62" s="2744"/>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6"/>
      <c r="AX62" s="1531"/>
      <c r="AY62" s="1531"/>
      <c r="AZ62" s="1531"/>
      <c r="BA62" s="1531"/>
      <c r="BB62" s="1531"/>
      <c r="BC62" s="1531"/>
      <c r="BD62" s="1531"/>
      <c r="BE62" s="1537"/>
    </row>
    <row r="63" spans="1:58" ht="15.75" customHeight="1">
      <c r="A63" s="1836"/>
      <c r="B63" s="2752" t="str">
        <f t="shared" si="8"/>
        <v/>
      </c>
      <c r="C63" s="2753"/>
      <c r="D63" s="2753"/>
      <c r="E63" s="2753"/>
      <c r="F63" s="2753"/>
      <c r="G63" s="2753"/>
      <c r="H63" s="2753"/>
      <c r="I63" s="2754"/>
      <c r="J63" s="2755"/>
      <c r="K63" s="2744"/>
      <c r="L63" s="2744"/>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6"/>
      <c r="AX63" s="1531"/>
      <c r="AY63" s="1531"/>
      <c r="AZ63" s="1531"/>
      <c r="BA63" s="1531"/>
      <c r="BB63" s="1531"/>
      <c r="BC63" s="1531"/>
      <c r="BD63" s="1531"/>
      <c r="BE63" s="1537"/>
    </row>
    <row r="64" spans="1:58" ht="15.75" customHeight="1" thickBot="1">
      <c r="A64" s="1836"/>
      <c r="B64" s="2775" t="str">
        <f t="shared" si="8"/>
        <v/>
      </c>
      <c r="C64" s="2776"/>
      <c r="D64" s="2776"/>
      <c r="E64" s="2776"/>
      <c r="F64" s="2776"/>
      <c r="G64" s="2776"/>
      <c r="H64" s="2776"/>
      <c r="I64" s="2777"/>
      <c r="J64" s="2778"/>
      <c r="K64" s="2757"/>
      <c r="L64" s="2757"/>
      <c r="M64" s="2757"/>
      <c r="N64" s="2757"/>
      <c r="O64" s="2757"/>
      <c r="P64" s="2757"/>
      <c r="Q64" s="2757"/>
      <c r="R64" s="2757"/>
      <c r="S64" s="2757"/>
      <c r="T64" s="2757"/>
      <c r="U64" s="2757"/>
      <c r="V64" s="2757"/>
      <c r="W64" s="2757"/>
      <c r="X64" s="2757"/>
      <c r="Y64" s="2757"/>
      <c r="Z64" s="2757"/>
      <c r="AA64" s="2757"/>
      <c r="AB64" s="2757"/>
      <c r="AC64" s="2757"/>
      <c r="AD64" s="2757"/>
      <c r="AE64" s="2757"/>
      <c r="AF64" s="2757"/>
      <c r="AG64" s="2757"/>
      <c r="AH64" s="2757"/>
      <c r="AI64" s="2757"/>
      <c r="AJ64" s="2757"/>
      <c r="AK64" s="2757"/>
      <c r="AL64" s="2757"/>
      <c r="AM64" s="2757"/>
      <c r="AN64" s="2757"/>
      <c r="AO64" s="2757"/>
      <c r="AP64" s="2757"/>
      <c r="AQ64" s="2757"/>
      <c r="AR64" s="2757"/>
      <c r="AS64" s="2757"/>
      <c r="AT64" s="2757"/>
      <c r="AU64" s="2757"/>
      <c r="AV64" s="2757"/>
      <c r="AW64" s="275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2093</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30" t="s">
        <v>2094</v>
      </c>
      <c r="C68" s="2631"/>
      <c r="D68" s="2631"/>
      <c r="E68" s="2631"/>
      <c r="F68" s="2631"/>
      <c r="G68" s="2631"/>
      <c r="H68" s="2631"/>
      <c r="I68" s="2631"/>
      <c r="J68" s="2631"/>
      <c r="K68" s="2631"/>
      <c r="L68" s="2631"/>
      <c r="M68" s="2631"/>
      <c r="N68" s="2631"/>
      <c r="O68" s="2631"/>
      <c r="P68" s="2631"/>
      <c r="Q68" s="2631"/>
      <c r="R68" s="2631"/>
      <c r="S68" s="2631"/>
      <c r="T68" s="2631"/>
      <c r="U68" s="2631"/>
      <c r="V68" s="2631"/>
      <c r="W68" s="2631"/>
      <c r="X68" s="2631"/>
      <c r="Y68" s="2631"/>
      <c r="Z68" s="2631"/>
      <c r="AA68" s="2632"/>
      <c r="AB68" s="1531"/>
      <c r="AC68" s="2789" t="s">
        <v>2095</v>
      </c>
      <c r="AD68" s="2790"/>
      <c r="AE68" s="2790"/>
      <c r="AF68" s="2790"/>
      <c r="AG68" s="2790"/>
      <c r="AH68" s="2790"/>
      <c r="AI68" s="2790"/>
      <c r="AJ68" s="2790"/>
      <c r="AK68" s="2790"/>
      <c r="AL68" s="2790"/>
      <c r="AM68" s="2790"/>
      <c r="AN68" s="2790"/>
      <c r="AO68" s="2790"/>
      <c r="AP68" s="2790"/>
      <c r="AQ68" s="2790"/>
      <c r="AR68" s="2790"/>
      <c r="AS68" s="2790"/>
      <c r="AT68" s="2790"/>
      <c r="AU68" s="2790"/>
      <c r="AV68" s="2763" t="s">
        <v>2054</v>
      </c>
      <c r="AW68" s="2763"/>
      <c r="AX68" s="2763"/>
      <c r="AY68" s="2763"/>
      <c r="AZ68" s="2763"/>
      <c r="BA68" s="2763"/>
      <c r="BB68" s="2763"/>
      <c r="BC68" s="2764"/>
      <c r="BD68" s="1531"/>
      <c r="BE68" s="1537"/>
    </row>
    <row r="69" spans="1:57" ht="15.75" customHeight="1" thickBot="1">
      <c r="A69" s="1836"/>
      <c r="B69" s="2765" t="s">
        <v>2096</v>
      </c>
      <c r="C69" s="2766"/>
      <c r="D69" s="2766"/>
      <c r="E69" s="2766"/>
      <c r="F69" s="2766"/>
      <c r="G69" s="2766"/>
      <c r="H69" s="2766"/>
      <c r="I69" s="2766"/>
      <c r="J69" s="2766"/>
      <c r="K69" s="2766"/>
      <c r="L69" s="2766"/>
      <c r="M69" s="2766"/>
      <c r="N69" s="2766"/>
      <c r="O69" s="2767" t="s">
        <v>2097</v>
      </c>
      <c r="P69" s="2768"/>
      <c r="Q69" s="2768"/>
      <c r="R69" s="2768"/>
      <c r="S69" s="2768"/>
      <c r="T69" s="2768"/>
      <c r="U69" s="2768"/>
      <c r="V69" s="2768"/>
      <c r="W69" s="2768"/>
      <c r="X69" s="2768"/>
      <c r="Y69" s="2768"/>
      <c r="Z69" s="2768"/>
      <c r="AA69" s="2769"/>
      <c r="AB69" s="1531"/>
      <c r="AC69" s="2770" t="s">
        <v>2098</v>
      </c>
      <c r="AD69" s="2771"/>
      <c r="AE69" s="2771"/>
      <c r="AF69" s="2771"/>
      <c r="AG69" s="2771"/>
      <c r="AH69" s="2771"/>
      <c r="AI69" s="2771"/>
      <c r="AJ69" s="2771"/>
      <c r="AK69" s="2771"/>
      <c r="AL69" s="2771"/>
      <c r="AM69" s="2771"/>
      <c r="AN69" s="2771"/>
      <c r="AO69" s="2771"/>
      <c r="AP69" s="2771"/>
      <c r="AQ69" s="2771"/>
      <c r="AR69" s="2771"/>
      <c r="AS69" s="2771"/>
      <c r="AT69" s="2771"/>
      <c r="AU69" s="2771"/>
      <c r="AV69" s="2772">
        <v>44197</v>
      </c>
      <c r="AW69" s="2773"/>
      <c r="AX69" s="2773"/>
      <c r="AY69" s="2773"/>
      <c r="AZ69" s="2773"/>
      <c r="BA69" s="2773"/>
      <c r="BB69" s="2773"/>
      <c r="BC69" s="2774"/>
      <c r="BD69" s="1531"/>
      <c r="BE69" s="1537"/>
    </row>
    <row r="70" spans="1:57" ht="15.75" customHeight="1">
      <c r="A70" s="1836"/>
      <c r="B70" s="2779"/>
      <c r="C70" s="2780"/>
      <c r="D70" s="2780"/>
      <c r="E70" s="2780"/>
      <c r="F70" s="2780"/>
      <c r="G70" s="2780"/>
      <c r="H70" s="2780"/>
      <c r="I70" s="2780"/>
      <c r="J70" s="2780"/>
      <c r="K70" s="2780"/>
      <c r="L70" s="2780"/>
      <c r="M70" s="2780"/>
      <c r="N70" s="2780"/>
      <c r="O70" s="2781"/>
      <c r="P70" s="2781"/>
      <c r="Q70" s="2781"/>
      <c r="R70" s="2781"/>
      <c r="S70" s="2781"/>
      <c r="T70" s="2781"/>
      <c r="U70" s="2781"/>
      <c r="V70" s="2781"/>
      <c r="W70" s="2781"/>
      <c r="X70" s="2781"/>
      <c r="Y70" s="2781"/>
      <c r="Z70" s="2781"/>
      <c r="AA70" s="2782"/>
      <c r="AB70" s="1531"/>
      <c r="AC70" s="2783" t="s">
        <v>2099</v>
      </c>
      <c r="AD70" s="2784"/>
      <c r="AE70" s="2784"/>
      <c r="AF70" s="2785"/>
      <c r="AG70" s="2785"/>
      <c r="AH70" s="2785"/>
      <c r="AI70" s="2785"/>
      <c r="AJ70" s="2785"/>
      <c r="AK70" s="2785"/>
      <c r="AL70" s="2785"/>
      <c r="AM70" s="2785"/>
      <c r="AN70" s="2785"/>
      <c r="AO70" s="2785"/>
      <c r="AP70" s="2785"/>
      <c r="AQ70" s="2785"/>
      <c r="AR70" s="2785"/>
      <c r="AS70" s="2785"/>
      <c r="AT70" s="2785"/>
      <c r="AU70" s="2786"/>
      <c r="AV70" s="1531"/>
      <c r="AW70" s="1531"/>
      <c r="AX70" s="1531"/>
      <c r="AY70" s="1531"/>
      <c r="AZ70" s="1531"/>
      <c r="BA70" s="1531"/>
      <c r="BB70" s="1531"/>
      <c r="BC70" s="1531"/>
      <c r="BD70" s="1531"/>
      <c r="BE70" s="1537"/>
    </row>
    <row r="71" spans="1:57" ht="15.75" customHeight="1" thickBot="1">
      <c r="A71" s="1836"/>
      <c r="B71" s="2712"/>
      <c r="C71" s="2710"/>
      <c r="D71" s="2710"/>
      <c r="E71" s="2710"/>
      <c r="F71" s="2710"/>
      <c r="G71" s="2710"/>
      <c r="H71" s="2710"/>
      <c r="I71" s="2710"/>
      <c r="J71" s="2710"/>
      <c r="K71" s="2710"/>
      <c r="L71" s="2710"/>
      <c r="M71" s="2710"/>
      <c r="N71" s="2710"/>
      <c r="O71" s="2781"/>
      <c r="P71" s="2781"/>
      <c r="Q71" s="2781"/>
      <c r="R71" s="2781"/>
      <c r="S71" s="2781"/>
      <c r="T71" s="2781"/>
      <c r="U71" s="2781"/>
      <c r="V71" s="2781"/>
      <c r="W71" s="2781"/>
      <c r="X71" s="2781"/>
      <c r="Y71" s="2781"/>
      <c r="Z71" s="2781"/>
      <c r="AA71" s="2782"/>
      <c r="AB71" s="1531"/>
      <c r="AC71" s="2787" t="s">
        <v>2100</v>
      </c>
      <c r="AD71" s="2788"/>
      <c r="AE71" s="2788"/>
      <c r="AF71" s="2727"/>
      <c r="AG71" s="2727"/>
      <c r="AH71" s="2727"/>
      <c r="AI71" s="2727"/>
      <c r="AJ71" s="2727"/>
      <c r="AK71" s="2727"/>
      <c r="AL71" s="2727"/>
      <c r="AM71" s="2727"/>
      <c r="AN71" s="2727"/>
      <c r="AO71" s="2727"/>
      <c r="AP71" s="2727"/>
      <c r="AQ71" s="2727"/>
      <c r="AR71" s="2727"/>
      <c r="AS71" s="2727"/>
      <c r="AT71" s="2727"/>
      <c r="AU71" s="2728"/>
      <c r="AV71" s="1531"/>
      <c r="AW71" s="1531"/>
      <c r="AX71" s="1531"/>
      <c r="AY71" s="1531"/>
      <c r="AZ71" s="1531"/>
      <c r="BA71" s="1531"/>
      <c r="BB71" s="1531"/>
      <c r="BC71" s="1531"/>
      <c r="BD71" s="1531"/>
      <c r="BE71" s="1537"/>
    </row>
    <row r="72" spans="1:57" ht="15.75" customHeight="1">
      <c r="A72" s="1836"/>
      <c r="B72" s="2712"/>
      <c r="C72" s="2710"/>
      <c r="D72" s="2710"/>
      <c r="E72" s="2710"/>
      <c r="F72" s="2710"/>
      <c r="G72" s="2710"/>
      <c r="H72" s="2710"/>
      <c r="I72" s="2710"/>
      <c r="J72" s="2710"/>
      <c r="K72" s="2710"/>
      <c r="L72" s="2710"/>
      <c r="M72" s="2710"/>
      <c r="N72" s="2710"/>
      <c r="O72" s="2781"/>
      <c r="P72" s="2781"/>
      <c r="Q72" s="2781"/>
      <c r="R72" s="2781"/>
      <c r="S72" s="2781"/>
      <c r="T72" s="2781"/>
      <c r="U72" s="2781"/>
      <c r="V72" s="2781"/>
      <c r="W72" s="2781"/>
      <c r="X72" s="2781"/>
      <c r="Y72" s="2781"/>
      <c r="Z72" s="2781"/>
      <c r="AA72" s="2782"/>
      <c r="AB72" s="1531"/>
      <c r="AC72" s="2796" t="s">
        <v>2101</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31"/>
      <c r="BE72" s="1537"/>
    </row>
    <row r="73" spans="1:57" ht="15.75" customHeight="1">
      <c r="A73" s="1836"/>
      <c r="B73" s="2712"/>
      <c r="C73" s="2710"/>
      <c r="D73" s="2710"/>
      <c r="E73" s="2710"/>
      <c r="F73" s="2710"/>
      <c r="G73" s="2710"/>
      <c r="H73" s="2710"/>
      <c r="I73" s="2710"/>
      <c r="J73" s="2710"/>
      <c r="K73" s="2710"/>
      <c r="L73" s="2710"/>
      <c r="M73" s="2710"/>
      <c r="N73" s="2710"/>
      <c r="O73" s="2781"/>
      <c r="P73" s="2781"/>
      <c r="Q73" s="2781"/>
      <c r="R73" s="2781"/>
      <c r="S73" s="2781"/>
      <c r="T73" s="2781"/>
      <c r="U73" s="2781"/>
      <c r="V73" s="2781"/>
      <c r="W73" s="2781"/>
      <c r="X73" s="2781"/>
      <c r="Y73" s="2781"/>
      <c r="Z73" s="2781"/>
      <c r="AA73" s="2782"/>
      <c r="AB73" s="1531"/>
      <c r="AC73" s="2712"/>
      <c r="AD73" s="2710"/>
      <c r="AE73" s="2710"/>
      <c r="AF73" s="2710"/>
      <c r="AG73" s="2710"/>
      <c r="AH73" s="2710"/>
      <c r="AI73" s="2710"/>
      <c r="AJ73" s="2710"/>
      <c r="AK73" s="2710"/>
      <c r="AL73" s="2710"/>
      <c r="AM73" s="2710"/>
      <c r="AN73" s="2710"/>
      <c r="AO73" s="2710"/>
      <c r="AP73" s="2710"/>
      <c r="AQ73" s="2710"/>
      <c r="AR73" s="2710"/>
      <c r="AS73" s="2710"/>
      <c r="AT73" s="2710"/>
      <c r="AU73" s="2710"/>
      <c r="AV73" s="2710"/>
      <c r="AW73" s="2710"/>
      <c r="AX73" s="2710"/>
      <c r="AY73" s="2710"/>
      <c r="AZ73" s="2710"/>
      <c r="BA73" s="2710"/>
      <c r="BB73" s="2710"/>
      <c r="BC73" s="2711"/>
      <c r="BD73" s="1531"/>
      <c r="BE73" s="1537"/>
    </row>
    <row r="74" spans="1:57" ht="15.75" customHeight="1" thickBot="1">
      <c r="A74" s="1836"/>
      <c r="B74" s="2712"/>
      <c r="C74" s="2710"/>
      <c r="D74" s="2710"/>
      <c r="E74" s="2710"/>
      <c r="F74" s="2710"/>
      <c r="G74" s="2710"/>
      <c r="H74" s="2710"/>
      <c r="I74" s="2710"/>
      <c r="J74" s="2710"/>
      <c r="K74" s="2710"/>
      <c r="L74" s="2710"/>
      <c r="M74" s="2710"/>
      <c r="N74" s="2710"/>
      <c r="O74" s="2799"/>
      <c r="P74" s="2799"/>
      <c r="Q74" s="2799"/>
      <c r="R74" s="2799"/>
      <c r="S74" s="2799"/>
      <c r="T74" s="2799"/>
      <c r="U74" s="2799"/>
      <c r="V74" s="2799"/>
      <c r="W74" s="2799"/>
      <c r="X74" s="2799"/>
      <c r="Y74" s="2799"/>
      <c r="Z74" s="2799"/>
      <c r="AA74" s="2800"/>
      <c r="AB74" s="1531"/>
      <c r="AC74" s="2712"/>
      <c r="AD74" s="2710"/>
      <c r="AE74" s="2710"/>
      <c r="AF74" s="2710"/>
      <c r="AG74" s="2710"/>
      <c r="AH74" s="2710"/>
      <c r="AI74" s="2710"/>
      <c r="AJ74" s="2710"/>
      <c r="AK74" s="2710"/>
      <c r="AL74" s="2710"/>
      <c r="AM74" s="2710"/>
      <c r="AN74" s="2710"/>
      <c r="AO74" s="2710"/>
      <c r="AP74" s="2710"/>
      <c r="AQ74" s="2710"/>
      <c r="AR74" s="2710"/>
      <c r="AS74" s="2710"/>
      <c r="AT74" s="2710"/>
      <c r="AU74" s="2710"/>
      <c r="AV74" s="2710"/>
      <c r="AW74" s="2710"/>
      <c r="AX74" s="2710"/>
      <c r="AY74" s="2710"/>
      <c r="AZ74" s="2710"/>
      <c r="BA74" s="2710"/>
      <c r="BB74" s="2710"/>
      <c r="BC74" s="2711"/>
      <c r="BD74" s="1531"/>
      <c r="BE74" s="1537"/>
    </row>
    <row r="75" spans="1:57" ht="15.75" customHeight="1" thickTop="1" thickBot="1">
      <c r="A75" s="1836"/>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31"/>
      <c r="AC75" s="2712"/>
      <c r="AD75" s="2710"/>
      <c r="AE75" s="2710"/>
      <c r="AF75" s="2710"/>
      <c r="AG75" s="2710"/>
      <c r="AH75" s="2710"/>
      <c r="AI75" s="2710"/>
      <c r="AJ75" s="2710"/>
      <c r="AK75" s="2710"/>
      <c r="AL75" s="2710"/>
      <c r="AM75" s="2710"/>
      <c r="AN75" s="2710"/>
      <c r="AO75" s="2710"/>
      <c r="AP75" s="2710"/>
      <c r="AQ75" s="2710"/>
      <c r="AR75" s="2710"/>
      <c r="AS75" s="2710"/>
      <c r="AT75" s="2710"/>
      <c r="AU75" s="2710"/>
      <c r="AV75" s="2710"/>
      <c r="AW75" s="2710"/>
      <c r="AX75" s="2710"/>
      <c r="AY75" s="2710"/>
      <c r="AZ75" s="2710"/>
      <c r="BA75" s="2710"/>
      <c r="BB75" s="2710"/>
      <c r="BC75" s="271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2"/>
      <c r="AD76" s="2710"/>
      <c r="AE76" s="2710"/>
      <c r="AF76" s="2710"/>
      <c r="AG76" s="2710"/>
      <c r="AH76" s="2710"/>
      <c r="AI76" s="2710"/>
      <c r="AJ76" s="2710"/>
      <c r="AK76" s="2710"/>
      <c r="AL76" s="2710"/>
      <c r="AM76" s="2710"/>
      <c r="AN76" s="2710"/>
      <c r="AO76" s="2710"/>
      <c r="AP76" s="2710"/>
      <c r="AQ76" s="2710"/>
      <c r="AR76" s="2710"/>
      <c r="AS76" s="2710"/>
      <c r="AT76" s="2710"/>
      <c r="AU76" s="2710"/>
      <c r="AV76" s="2710"/>
      <c r="AW76" s="2710"/>
      <c r="AX76" s="2710"/>
      <c r="AY76" s="2710"/>
      <c r="AZ76" s="2710"/>
      <c r="BA76" s="2710"/>
      <c r="BB76" s="2710"/>
      <c r="BC76" s="2711"/>
      <c r="BD76" s="1531"/>
      <c r="BE76" s="1537"/>
    </row>
    <row r="77" spans="1:57" ht="15.75" customHeight="1" thickBot="1">
      <c r="A77" s="1836"/>
      <c r="B77" s="1542" t="s">
        <v>2102</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9"/>
      <c r="AD77" s="2727"/>
      <c r="AE77" s="2727"/>
      <c r="AF77" s="2727"/>
      <c r="AG77" s="2727"/>
      <c r="AH77" s="2727"/>
      <c r="AI77" s="2727"/>
      <c r="AJ77" s="2727"/>
      <c r="AK77" s="2727"/>
      <c r="AL77" s="2727"/>
      <c r="AM77" s="2727"/>
      <c r="AN77" s="2727"/>
      <c r="AO77" s="2727"/>
      <c r="AP77" s="2727"/>
      <c r="AQ77" s="2727"/>
      <c r="AR77" s="2727"/>
      <c r="AS77" s="2727"/>
      <c r="AT77" s="2727"/>
      <c r="AU77" s="2727"/>
      <c r="AV77" s="2727"/>
      <c r="AW77" s="2727"/>
      <c r="AX77" s="2727"/>
      <c r="AY77" s="2727"/>
      <c r="AZ77" s="2727"/>
      <c r="BA77" s="2727"/>
      <c r="BB77" s="2727"/>
      <c r="BC77" s="272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1" t="s">
        <v>2103</v>
      </c>
      <c r="C79" s="2602"/>
      <c r="D79" s="2602"/>
      <c r="E79" s="2602"/>
      <c r="F79" s="2602"/>
      <c r="G79" s="2602"/>
      <c r="H79" s="2602"/>
      <c r="I79" s="2602"/>
      <c r="J79" s="2602"/>
      <c r="K79" s="2602"/>
      <c r="L79" s="2602"/>
      <c r="M79" s="2602"/>
      <c r="N79" s="2602"/>
      <c r="O79" s="2602"/>
      <c r="P79" s="2602"/>
      <c r="Q79" s="2602"/>
      <c r="R79" s="2602"/>
      <c r="S79" s="2602"/>
      <c r="T79" s="2602"/>
      <c r="U79" s="2602"/>
      <c r="V79" s="2602"/>
      <c r="W79" s="2602"/>
      <c r="X79" s="2602"/>
      <c r="Y79" s="2602"/>
      <c r="Z79" s="2602"/>
      <c r="AA79" s="2602"/>
      <c r="AB79" s="2791"/>
      <c r="AC79" s="2791"/>
      <c r="AD79" s="2791"/>
      <c r="AE79" s="2791"/>
      <c r="AF79" s="2791"/>
      <c r="AG79" s="279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1"/>
      <c r="C80" s="2602"/>
      <c r="D80" s="2602"/>
      <c r="E80" s="2602"/>
      <c r="F80" s="2602"/>
      <c r="G80" s="2602"/>
      <c r="H80" s="2603"/>
      <c r="I80" s="2793" t="s">
        <v>2104</v>
      </c>
      <c r="J80" s="2794"/>
      <c r="K80" s="2794"/>
      <c r="L80" s="2794"/>
      <c r="M80" s="2794"/>
      <c r="N80" s="2795"/>
      <c r="O80" s="2793" t="s">
        <v>2105</v>
      </c>
      <c r="P80" s="2794"/>
      <c r="Q80" s="2794"/>
      <c r="R80" s="2794"/>
      <c r="S80" s="2794"/>
      <c r="T80" s="2794"/>
      <c r="U80" s="2795"/>
      <c r="V80" s="2793" t="s">
        <v>2106</v>
      </c>
      <c r="W80" s="2794"/>
      <c r="X80" s="2794"/>
      <c r="Y80" s="2794"/>
      <c r="Z80" s="2794"/>
      <c r="AA80" s="2795"/>
      <c r="AB80" s="2793" t="s">
        <v>2107</v>
      </c>
      <c r="AC80" s="2794"/>
      <c r="AD80" s="2794"/>
      <c r="AE80" s="2794"/>
      <c r="AF80" s="2794"/>
      <c r="AG80" s="279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3" t="s">
        <v>2108</v>
      </c>
      <c r="C81" s="2794"/>
      <c r="D81" s="2794"/>
      <c r="E81" s="2794"/>
      <c r="F81" s="2794"/>
      <c r="G81" s="2794"/>
      <c r="H81" s="2795"/>
      <c r="I81" s="2812"/>
      <c r="J81" s="2813"/>
      <c r="K81" s="2813"/>
      <c r="L81" s="2813"/>
      <c r="M81" s="2813"/>
      <c r="N81" s="2813"/>
      <c r="O81" s="2813"/>
      <c r="P81" s="2813"/>
      <c r="Q81" s="2813"/>
      <c r="R81" s="2813"/>
      <c r="S81" s="2813"/>
      <c r="T81" s="2813"/>
      <c r="U81" s="2813"/>
      <c r="V81" s="2813"/>
      <c r="W81" s="2813"/>
      <c r="X81" s="2813"/>
      <c r="Y81" s="2813"/>
      <c r="Z81" s="2813"/>
      <c r="AA81" s="2814"/>
      <c r="AB81" s="2813"/>
      <c r="AC81" s="2813"/>
      <c r="AD81" s="2813"/>
      <c r="AE81" s="2813"/>
      <c r="AF81" s="2813"/>
      <c r="AG81" s="2814"/>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3" t="s">
        <v>2109</v>
      </c>
      <c r="C82" s="2794"/>
      <c r="D82" s="2794"/>
      <c r="E82" s="2794"/>
      <c r="F82" s="2794"/>
      <c r="G82" s="2794"/>
      <c r="H82" s="2795"/>
      <c r="I82" s="2815"/>
      <c r="J82" s="2816"/>
      <c r="K82" s="2816"/>
      <c r="L82" s="2816"/>
      <c r="M82" s="2816"/>
      <c r="N82" s="2816"/>
      <c r="O82" s="2816"/>
      <c r="P82" s="2816"/>
      <c r="Q82" s="2816"/>
      <c r="R82" s="2816"/>
      <c r="S82" s="2816"/>
      <c r="T82" s="2816"/>
      <c r="U82" s="2816"/>
      <c r="V82" s="2816"/>
      <c r="W82" s="2816"/>
      <c r="X82" s="2816"/>
      <c r="Y82" s="2816"/>
      <c r="Z82" s="2816"/>
      <c r="AA82" s="2817"/>
      <c r="AB82" s="2816"/>
      <c r="AC82" s="2816"/>
      <c r="AD82" s="2816"/>
      <c r="AE82" s="2816"/>
      <c r="AF82" s="2816"/>
      <c r="AG82" s="281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2110</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6" t="s">
        <v>2111</v>
      </c>
      <c r="C86" s="2807"/>
      <c r="D86" s="2807"/>
      <c r="E86" s="2807"/>
      <c r="F86" s="2807"/>
      <c r="G86" s="2807"/>
      <c r="H86" s="2807"/>
      <c r="I86" s="2807"/>
      <c r="J86" s="2807"/>
      <c r="K86" s="2807"/>
      <c r="L86" s="2807"/>
      <c r="M86" s="2807"/>
      <c r="N86" s="2807"/>
      <c r="O86" s="2807"/>
      <c r="P86" s="2807"/>
      <c r="Q86" s="2807"/>
      <c r="R86" s="2807"/>
      <c r="S86" s="2807"/>
      <c r="T86" s="2807"/>
      <c r="U86" s="2807"/>
      <c r="V86" s="2807"/>
      <c r="W86" s="2807"/>
      <c r="X86" s="2807"/>
      <c r="Y86" s="2807"/>
      <c r="Z86" s="2807"/>
      <c r="AA86" s="2807"/>
      <c r="AB86" s="2807"/>
      <c r="AC86" s="2807"/>
      <c r="AD86" s="2807"/>
      <c r="AE86" s="2807"/>
      <c r="AF86" s="2807"/>
      <c r="AG86" s="2807"/>
      <c r="AH86" s="280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1"/>
      <c r="C87" s="2602"/>
      <c r="D87" s="2602"/>
      <c r="E87" s="2602"/>
      <c r="F87" s="2602"/>
      <c r="G87" s="2602"/>
      <c r="H87" s="2603"/>
      <c r="I87" s="2793" t="s">
        <v>2104</v>
      </c>
      <c r="J87" s="2794"/>
      <c r="K87" s="2794"/>
      <c r="L87" s="2794"/>
      <c r="M87" s="2794"/>
      <c r="N87" s="2795"/>
      <c r="O87" s="2793" t="s">
        <v>2105</v>
      </c>
      <c r="P87" s="2794"/>
      <c r="Q87" s="2794"/>
      <c r="R87" s="2794"/>
      <c r="S87" s="2794"/>
      <c r="T87" s="2794"/>
      <c r="U87" s="2795"/>
      <c r="V87" s="2793" t="s">
        <v>2106</v>
      </c>
      <c r="W87" s="2794"/>
      <c r="X87" s="2794"/>
      <c r="Y87" s="2794"/>
      <c r="Z87" s="2794"/>
      <c r="AA87" s="2795"/>
      <c r="AB87" s="2809" t="s">
        <v>2107</v>
      </c>
      <c r="AC87" s="2810"/>
      <c r="AD87" s="2810"/>
      <c r="AE87" s="2810"/>
      <c r="AF87" s="2810"/>
      <c r="AG87" s="2810"/>
      <c r="AH87" s="281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3" t="s">
        <v>2108</v>
      </c>
      <c r="C88" s="2794"/>
      <c r="D88" s="2794"/>
      <c r="E88" s="2794"/>
      <c r="F88" s="2794"/>
      <c r="G88" s="2794"/>
      <c r="H88" s="2795"/>
      <c r="I88" s="2812"/>
      <c r="J88" s="2813"/>
      <c r="K88" s="2813"/>
      <c r="L88" s="2813"/>
      <c r="M88" s="2813"/>
      <c r="N88" s="2813"/>
      <c r="O88" s="2813"/>
      <c r="P88" s="2813"/>
      <c r="Q88" s="2813"/>
      <c r="R88" s="2813"/>
      <c r="S88" s="2813"/>
      <c r="T88" s="2813"/>
      <c r="U88" s="2813"/>
      <c r="V88" s="2813"/>
      <c r="W88" s="2813"/>
      <c r="X88" s="2813"/>
      <c r="Y88" s="2813"/>
      <c r="Z88" s="2813"/>
      <c r="AA88" s="2818"/>
      <c r="AB88" s="2785"/>
      <c r="AC88" s="2785"/>
      <c r="AD88" s="2785"/>
      <c r="AE88" s="2785"/>
      <c r="AF88" s="2785"/>
      <c r="AG88" s="2785"/>
      <c r="AH88" s="278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3" t="s">
        <v>2109</v>
      </c>
      <c r="C89" s="2794"/>
      <c r="D89" s="2794"/>
      <c r="E89" s="2794"/>
      <c r="F89" s="2794"/>
      <c r="G89" s="2794"/>
      <c r="H89" s="2795"/>
      <c r="I89" s="2815"/>
      <c r="J89" s="2816"/>
      <c r="K89" s="2816"/>
      <c r="L89" s="2816"/>
      <c r="M89" s="2816"/>
      <c r="N89" s="2816"/>
      <c r="O89" s="2816"/>
      <c r="P89" s="2816"/>
      <c r="Q89" s="2816"/>
      <c r="R89" s="2816"/>
      <c r="S89" s="2816"/>
      <c r="T89" s="2816"/>
      <c r="U89" s="2816"/>
      <c r="V89" s="2816"/>
      <c r="W89" s="2816"/>
      <c r="X89" s="2816"/>
      <c r="Y89" s="2816"/>
      <c r="Z89" s="2816"/>
      <c r="AA89" s="2819"/>
      <c r="AB89" s="2727"/>
      <c r="AC89" s="2727"/>
      <c r="AD89" s="2727"/>
      <c r="AE89" s="2727"/>
      <c r="AF89" s="2727"/>
      <c r="AG89" s="2727"/>
      <c r="AH89" s="272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2112</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1" t="s">
        <v>2113</v>
      </c>
      <c r="C93" s="2602"/>
      <c r="D93" s="2602"/>
      <c r="E93" s="2602"/>
      <c r="F93" s="2602"/>
      <c r="G93" s="2602"/>
      <c r="H93" s="2602"/>
      <c r="I93" s="2602"/>
      <c r="J93" s="2602"/>
      <c r="K93" s="2602"/>
      <c r="L93" s="2602"/>
      <c r="M93" s="2602"/>
      <c r="N93" s="2602"/>
      <c r="O93" s="2602"/>
      <c r="P93" s="2602"/>
      <c r="Q93" s="2602"/>
      <c r="R93" s="2602"/>
      <c r="S93" s="2602"/>
      <c r="T93" s="2602"/>
      <c r="U93" s="2602"/>
      <c r="V93" s="2602"/>
      <c r="W93" s="2602"/>
      <c r="X93" s="2602"/>
      <c r="Y93" s="2602"/>
      <c r="Z93" s="2602"/>
      <c r="AA93" s="2602"/>
      <c r="AB93" s="2602"/>
      <c r="AC93" s="2602"/>
      <c r="AD93" s="2602"/>
      <c r="AE93" s="2602"/>
      <c r="AF93" s="2602"/>
      <c r="AG93" s="2602"/>
      <c r="AH93" s="2603"/>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1"/>
      <c r="C94" s="2602"/>
      <c r="D94" s="2602"/>
      <c r="E94" s="2602"/>
      <c r="F94" s="2602"/>
      <c r="G94" s="2602"/>
      <c r="H94" s="2603"/>
      <c r="I94" s="2793" t="s">
        <v>2104</v>
      </c>
      <c r="J94" s="2794"/>
      <c r="K94" s="2794"/>
      <c r="L94" s="2794"/>
      <c r="M94" s="2794"/>
      <c r="N94" s="2795"/>
      <c r="O94" s="2793" t="s">
        <v>2105</v>
      </c>
      <c r="P94" s="2794"/>
      <c r="Q94" s="2794"/>
      <c r="R94" s="2794"/>
      <c r="S94" s="2794"/>
      <c r="T94" s="2794"/>
      <c r="U94" s="2795"/>
      <c r="V94" s="2793" t="s">
        <v>2106</v>
      </c>
      <c r="W94" s="2794"/>
      <c r="X94" s="2794"/>
      <c r="Y94" s="2794"/>
      <c r="Z94" s="2794"/>
      <c r="AA94" s="2795"/>
      <c r="AB94" s="2809" t="s">
        <v>2107</v>
      </c>
      <c r="AC94" s="2810"/>
      <c r="AD94" s="2810"/>
      <c r="AE94" s="2810"/>
      <c r="AF94" s="2810"/>
      <c r="AG94" s="2810"/>
      <c r="AH94" s="2811"/>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3" t="s">
        <v>2108</v>
      </c>
      <c r="C95" s="2794"/>
      <c r="D95" s="2794"/>
      <c r="E95" s="2794"/>
      <c r="F95" s="2794"/>
      <c r="G95" s="2794"/>
      <c r="H95" s="2795"/>
      <c r="I95" s="2812"/>
      <c r="J95" s="2813"/>
      <c r="K95" s="2813"/>
      <c r="L95" s="2813"/>
      <c r="M95" s="2813"/>
      <c r="N95" s="2813"/>
      <c r="O95" s="2813"/>
      <c r="P95" s="2813"/>
      <c r="Q95" s="2813"/>
      <c r="R95" s="2813"/>
      <c r="S95" s="2813"/>
      <c r="T95" s="2813"/>
      <c r="U95" s="2813"/>
      <c r="V95" s="2813"/>
      <c r="W95" s="2813"/>
      <c r="X95" s="2813"/>
      <c r="Y95" s="2813"/>
      <c r="Z95" s="2813"/>
      <c r="AA95" s="2814"/>
      <c r="AB95" s="2785"/>
      <c r="AC95" s="2785"/>
      <c r="AD95" s="2785"/>
      <c r="AE95" s="2785"/>
      <c r="AF95" s="2785"/>
      <c r="AG95" s="2785"/>
      <c r="AH95" s="278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3" t="s">
        <v>2109</v>
      </c>
      <c r="C96" s="2794"/>
      <c r="D96" s="2794"/>
      <c r="E96" s="2794"/>
      <c r="F96" s="2794"/>
      <c r="G96" s="2794"/>
      <c r="H96" s="2795"/>
      <c r="I96" s="2815"/>
      <c r="J96" s="2816"/>
      <c r="K96" s="2816"/>
      <c r="L96" s="2816"/>
      <c r="M96" s="2816"/>
      <c r="N96" s="2816"/>
      <c r="O96" s="2816"/>
      <c r="P96" s="2816"/>
      <c r="Q96" s="2816"/>
      <c r="R96" s="2816"/>
      <c r="S96" s="2816"/>
      <c r="T96" s="2816"/>
      <c r="U96" s="2816"/>
      <c r="V96" s="2816"/>
      <c r="W96" s="2816"/>
      <c r="X96" s="2816"/>
      <c r="Y96" s="2816"/>
      <c r="Z96" s="2816"/>
      <c r="AA96" s="2817"/>
      <c r="AB96" s="2727"/>
      <c r="AC96" s="2727"/>
      <c r="AD96" s="2727"/>
      <c r="AE96" s="2727"/>
      <c r="AF96" s="2727"/>
      <c r="AG96" s="2727"/>
      <c r="AH96" s="272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2114</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30" t="s">
        <v>2115</v>
      </c>
      <c r="C100" s="2631"/>
      <c r="D100" s="2631"/>
      <c r="E100" s="2631"/>
      <c r="F100" s="2631"/>
      <c r="G100" s="2631"/>
      <c r="H100" s="2631"/>
      <c r="I100" s="2631"/>
      <c r="J100" s="2631"/>
      <c r="K100" s="2631"/>
      <c r="L100" s="2631"/>
      <c r="M100" s="2631"/>
      <c r="N100" s="2631"/>
      <c r="O100" s="2631"/>
      <c r="P100" s="2631"/>
      <c r="Q100" s="2631"/>
      <c r="R100" s="2631"/>
      <c r="S100" s="2631"/>
      <c r="T100" s="2631"/>
      <c r="U100" s="283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5"/>
      <c r="C101" s="2836"/>
      <c r="D101" s="2836"/>
      <c r="E101" s="2836"/>
      <c r="F101" s="2836"/>
      <c r="G101" s="2836"/>
      <c r="H101" s="2837"/>
      <c r="I101" s="2767" t="s">
        <v>2105</v>
      </c>
      <c r="J101" s="2768"/>
      <c r="K101" s="2768"/>
      <c r="L101" s="2768"/>
      <c r="M101" s="2768"/>
      <c r="N101" s="2768"/>
      <c r="O101" s="2838"/>
      <c r="P101" s="2767" t="s">
        <v>2116</v>
      </c>
      <c r="Q101" s="2768"/>
      <c r="R101" s="2768"/>
      <c r="S101" s="2768"/>
      <c r="T101" s="2768"/>
      <c r="U101" s="2838"/>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9" t="s">
        <v>2108</v>
      </c>
      <c r="C102" s="2840"/>
      <c r="D102" s="2840"/>
      <c r="E102" s="2840"/>
      <c r="F102" s="2840"/>
      <c r="G102" s="2840"/>
      <c r="H102" s="2840"/>
      <c r="I102" s="2820"/>
      <c r="J102" s="2821"/>
      <c r="K102" s="2821"/>
      <c r="L102" s="2821"/>
      <c r="M102" s="2821"/>
      <c r="N102" s="2821"/>
      <c r="O102" s="2822"/>
      <c r="P102" s="2820"/>
      <c r="Q102" s="2821"/>
      <c r="R102" s="2821"/>
      <c r="S102" s="2821"/>
      <c r="T102" s="2821"/>
      <c r="U102" s="282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70" t="s">
        <v>2109</v>
      </c>
      <c r="C103" s="2771"/>
      <c r="D103" s="2771"/>
      <c r="E103" s="2771"/>
      <c r="F103" s="2771"/>
      <c r="G103" s="2771"/>
      <c r="H103" s="2771"/>
      <c r="I103" s="2820"/>
      <c r="J103" s="2821"/>
      <c r="K103" s="2821"/>
      <c r="L103" s="2821"/>
      <c r="M103" s="2821"/>
      <c r="N103" s="2821"/>
      <c r="O103" s="2822"/>
      <c r="P103" s="2820"/>
      <c r="Q103" s="2821"/>
      <c r="R103" s="2821"/>
      <c r="S103" s="2821"/>
      <c r="T103" s="2821"/>
      <c r="U103" s="282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3" t="s">
        <v>2117</v>
      </c>
      <c r="C105" s="2824"/>
      <c r="D105" s="2824"/>
      <c r="E105" s="2824"/>
      <c r="F105" s="2824"/>
      <c r="G105" s="2824"/>
      <c r="H105" s="2824"/>
      <c r="I105" s="2824"/>
      <c r="J105" s="2824"/>
      <c r="K105" s="2824"/>
      <c r="L105" s="2824"/>
      <c r="M105" s="2824"/>
      <c r="N105" s="2824"/>
      <c r="O105" s="2824"/>
      <c r="P105" s="2824"/>
      <c r="Q105" s="2824"/>
      <c r="R105" s="2825"/>
      <c r="S105" s="2825"/>
      <c r="T105" s="2825"/>
      <c r="U105" s="2825"/>
      <c r="V105" s="2825"/>
      <c r="W105" s="2825"/>
      <c r="X105" s="2825"/>
      <c r="Y105" s="2825"/>
      <c r="Z105" s="2825"/>
      <c r="AA105" s="2825"/>
      <c r="AB105" s="2825"/>
      <c r="AC105" s="2825"/>
      <c r="AD105" s="2825"/>
      <c r="AE105" s="2825"/>
      <c r="AF105" s="2825"/>
      <c r="AG105" s="2826" t="s">
        <v>2054</v>
      </c>
      <c r="AH105" s="2826"/>
      <c r="AI105" s="2826"/>
      <c r="AJ105" s="282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8" t="s">
        <v>2118</v>
      </c>
      <c r="C106" s="2829"/>
      <c r="D106" s="2829"/>
      <c r="E106" s="2829"/>
      <c r="F106" s="2829"/>
      <c r="G106" s="2829"/>
      <c r="H106" s="2829"/>
      <c r="I106" s="2829"/>
      <c r="J106" s="2829"/>
      <c r="K106" s="2829"/>
      <c r="L106" s="2829"/>
      <c r="M106" s="2829"/>
      <c r="N106" s="2829"/>
      <c r="O106" s="2829"/>
      <c r="P106" s="2829"/>
      <c r="Q106" s="2830"/>
      <c r="R106" s="2831" t="s">
        <v>2119</v>
      </c>
      <c r="S106" s="2832"/>
      <c r="T106" s="2832"/>
      <c r="U106" s="2832"/>
      <c r="V106" s="2832"/>
      <c r="W106" s="2832"/>
      <c r="X106" s="2832"/>
      <c r="Y106" s="2832"/>
      <c r="Z106" s="2832"/>
      <c r="AA106" s="2832"/>
      <c r="AB106" s="2832"/>
      <c r="AC106" s="2832"/>
      <c r="AD106" s="2832"/>
      <c r="AE106" s="2832"/>
      <c r="AF106" s="2832"/>
      <c r="AG106" s="2832"/>
      <c r="AH106" s="2832"/>
      <c r="AI106" s="2832"/>
      <c r="AJ106" s="2832"/>
      <c r="AK106" s="2832"/>
      <c r="AL106" s="2832"/>
      <c r="AM106" s="2832"/>
      <c r="AN106" s="2832"/>
      <c r="AO106" s="2832"/>
      <c r="AP106" s="2832"/>
      <c r="AQ106" s="2832"/>
      <c r="AR106" s="2832"/>
      <c r="AS106" s="2832"/>
      <c r="AT106" s="2832"/>
      <c r="AU106" s="2832"/>
      <c r="AV106" s="2832"/>
      <c r="AW106" s="2832"/>
      <c r="AX106" s="2833"/>
      <c r="AY106" s="1531"/>
      <c r="AZ106" s="1531"/>
      <c r="BA106" s="1531"/>
      <c r="BB106" s="1531"/>
      <c r="BC106" s="1531"/>
      <c r="BD106" s="1531"/>
      <c r="BE106" s="1537"/>
    </row>
    <row r="107" spans="1:57" ht="15.75" customHeight="1">
      <c r="A107" s="1836"/>
      <c r="B107" s="2854" t="s">
        <v>2120</v>
      </c>
      <c r="C107" s="2855"/>
      <c r="D107" s="2855"/>
      <c r="E107" s="2855"/>
      <c r="F107" s="2855"/>
      <c r="G107" s="2855"/>
      <c r="H107" s="2855"/>
      <c r="I107" s="2855"/>
      <c r="J107" s="2855"/>
      <c r="K107" s="2855"/>
      <c r="L107" s="2855"/>
      <c r="M107" s="2855"/>
      <c r="N107" s="2855"/>
      <c r="O107" s="2855"/>
      <c r="P107" s="2855"/>
      <c r="Q107" s="2855"/>
      <c r="R107" s="2855"/>
      <c r="S107" s="2855"/>
      <c r="T107" s="2855"/>
      <c r="U107" s="2855"/>
      <c r="V107" s="2855"/>
      <c r="W107" s="2855"/>
      <c r="X107" s="2855"/>
      <c r="Y107" s="2855"/>
      <c r="Z107" s="2855"/>
      <c r="AA107" s="2855"/>
      <c r="AB107" s="2855"/>
      <c r="AC107" s="2855"/>
      <c r="AD107" s="2855"/>
      <c r="AE107" s="2855"/>
      <c r="AF107" s="2855"/>
      <c r="AG107" s="2855"/>
      <c r="AH107" s="2855"/>
      <c r="AI107" s="2855"/>
      <c r="AJ107" s="2855"/>
      <c r="AK107" s="2855"/>
      <c r="AL107" s="2855"/>
      <c r="AM107" s="2855"/>
      <c r="AN107" s="2855"/>
      <c r="AO107" s="2855"/>
      <c r="AP107" s="2855"/>
      <c r="AQ107" s="2855"/>
      <c r="AR107" s="2855"/>
      <c r="AS107" s="2855"/>
      <c r="AT107" s="2855"/>
      <c r="AU107" s="2855"/>
      <c r="AV107" s="2855"/>
      <c r="AW107" s="2855"/>
      <c r="AX107" s="2856"/>
      <c r="AY107" s="1531"/>
      <c r="AZ107" s="1531"/>
      <c r="BA107" s="1531"/>
      <c r="BB107" s="1531"/>
      <c r="BC107" s="1531"/>
      <c r="BD107" s="1531"/>
      <c r="BE107" s="1537"/>
    </row>
    <row r="108" spans="1:57" ht="15.75" customHeight="1">
      <c r="A108" s="1836"/>
      <c r="B108" s="2857"/>
      <c r="C108" s="2858"/>
      <c r="D108" s="2858"/>
      <c r="E108" s="2858"/>
      <c r="F108" s="2858"/>
      <c r="G108" s="2858"/>
      <c r="H108" s="2858"/>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58"/>
      <c r="AD108" s="2858"/>
      <c r="AE108" s="2858"/>
      <c r="AF108" s="2858"/>
      <c r="AG108" s="2858"/>
      <c r="AH108" s="2858"/>
      <c r="AI108" s="2858"/>
      <c r="AJ108" s="2858"/>
      <c r="AK108" s="2858"/>
      <c r="AL108" s="2858"/>
      <c r="AM108" s="2858"/>
      <c r="AN108" s="2858"/>
      <c r="AO108" s="2858"/>
      <c r="AP108" s="2858"/>
      <c r="AQ108" s="2858"/>
      <c r="AR108" s="2858"/>
      <c r="AS108" s="2858"/>
      <c r="AT108" s="2858"/>
      <c r="AU108" s="2858"/>
      <c r="AV108" s="2858"/>
      <c r="AW108" s="2858"/>
      <c r="AX108" s="2859"/>
      <c r="AY108" s="1531"/>
      <c r="AZ108" s="1531"/>
      <c r="BA108" s="1531"/>
      <c r="BB108" s="1531"/>
      <c r="BC108" s="1531"/>
      <c r="BD108" s="1531"/>
      <c r="BE108" s="1537"/>
    </row>
    <row r="109" spans="1:57" ht="15.75" customHeight="1">
      <c r="A109" s="1836"/>
      <c r="B109" s="2857"/>
      <c r="C109" s="2858"/>
      <c r="D109" s="2858"/>
      <c r="E109" s="2858"/>
      <c r="F109" s="2858"/>
      <c r="G109" s="2858"/>
      <c r="H109" s="2858"/>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58"/>
      <c r="AD109" s="2858"/>
      <c r="AE109" s="2858"/>
      <c r="AF109" s="2858"/>
      <c r="AG109" s="2858"/>
      <c r="AH109" s="2858"/>
      <c r="AI109" s="2858"/>
      <c r="AJ109" s="2858"/>
      <c r="AK109" s="2858"/>
      <c r="AL109" s="2858"/>
      <c r="AM109" s="2858"/>
      <c r="AN109" s="2858"/>
      <c r="AO109" s="2858"/>
      <c r="AP109" s="2858"/>
      <c r="AQ109" s="2858"/>
      <c r="AR109" s="2858"/>
      <c r="AS109" s="2858"/>
      <c r="AT109" s="2858"/>
      <c r="AU109" s="2858"/>
      <c r="AV109" s="2858"/>
      <c r="AW109" s="2858"/>
      <c r="AX109" s="2859"/>
      <c r="AY109" s="1531"/>
      <c r="AZ109" s="1531"/>
      <c r="BA109" s="1531"/>
      <c r="BB109" s="1531"/>
      <c r="BC109" s="1531"/>
      <c r="BD109" s="1531"/>
      <c r="BE109" s="1537"/>
    </row>
    <row r="110" spans="1:57" ht="15.75" customHeight="1">
      <c r="A110" s="1836"/>
      <c r="B110" s="2857"/>
      <c r="C110" s="2858"/>
      <c r="D110" s="2858"/>
      <c r="E110" s="2858"/>
      <c r="F110" s="2858"/>
      <c r="G110" s="2858"/>
      <c r="H110" s="2858"/>
      <c r="I110" s="2858"/>
      <c r="J110" s="2858"/>
      <c r="K110" s="2858"/>
      <c r="L110" s="2858"/>
      <c r="M110" s="2858"/>
      <c r="N110" s="2858"/>
      <c r="O110" s="2858"/>
      <c r="P110" s="2858"/>
      <c r="Q110" s="2858"/>
      <c r="R110" s="2858"/>
      <c r="S110" s="2858"/>
      <c r="T110" s="2858"/>
      <c r="U110" s="2858"/>
      <c r="V110" s="2858"/>
      <c r="W110" s="2858"/>
      <c r="X110" s="2858"/>
      <c r="Y110" s="2858"/>
      <c r="Z110" s="2858"/>
      <c r="AA110" s="2858"/>
      <c r="AB110" s="2858"/>
      <c r="AC110" s="2858"/>
      <c r="AD110" s="2858"/>
      <c r="AE110" s="2858"/>
      <c r="AF110" s="2858"/>
      <c r="AG110" s="2858"/>
      <c r="AH110" s="2858"/>
      <c r="AI110" s="2858"/>
      <c r="AJ110" s="2858"/>
      <c r="AK110" s="2858"/>
      <c r="AL110" s="2858"/>
      <c r="AM110" s="2858"/>
      <c r="AN110" s="2858"/>
      <c r="AO110" s="2858"/>
      <c r="AP110" s="2858"/>
      <c r="AQ110" s="2858"/>
      <c r="AR110" s="2858"/>
      <c r="AS110" s="2858"/>
      <c r="AT110" s="2858"/>
      <c r="AU110" s="2858"/>
      <c r="AV110" s="2858"/>
      <c r="AW110" s="2858"/>
      <c r="AX110" s="2859"/>
      <c r="AY110" s="1531"/>
      <c r="AZ110" s="1531"/>
      <c r="BA110" s="1531"/>
      <c r="BB110" s="1531"/>
      <c r="BC110" s="1531"/>
      <c r="BD110" s="1531"/>
      <c r="BE110" s="1537"/>
    </row>
    <row r="111" spans="1:57" ht="15.75" customHeight="1">
      <c r="A111" s="1836"/>
      <c r="B111" s="2857"/>
      <c r="C111" s="2858"/>
      <c r="D111" s="2858"/>
      <c r="E111" s="2858"/>
      <c r="F111" s="2858"/>
      <c r="G111" s="2858"/>
      <c r="H111" s="2858"/>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58"/>
      <c r="AD111" s="2858"/>
      <c r="AE111" s="2858"/>
      <c r="AF111" s="2858"/>
      <c r="AG111" s="2858"/>
      <c r="AH111" s="2858"/>
      <c r="AI111" s="2858"/>
      <c r="AJ111" s="2858"/>
      <c r="AK111" s="2858"/>
      <c r="AL111" s="2858"/>
      <c r="AM111" s="2858"/>
      <c r="AN111" s="2858"/>
      <c r="AO111" s="2858"/>
      <c r="AP111" s="2858"/>
      <c r="AQ111" s="2858"/>
      <c r="AR111" s="2858"/>
      <c r="AS111" s="2858"/>
      <c r="AT111" s="2858"/>
      <c r="AU111" s="2858"/>
      <c r="AV111" s="2858"/>
      <c r="AW111" s="2858"/>
      <c r="AX111" s="2859"/>
      <c r="AY111" s="1531"/>
      <c r="AZ111" s="1531"/>
      <c r="BA111" s="1531"/>
      <c r="BB111" s="1531"/>
      <c r="BC111" s="1531"/>
      <c r="BD111" s="1531"/>
      <c r="BE111" s="1537"/>
    </row>
    <row r="112" spans="1:57" ht="15.75" customHeight="1">
      <c r="A112" s="1836"/>
      <c r="B112" s="2857"/>
      <c r="C112" s="2858"/>
      <c r="D112" s="2858"/>
      <c r="E112" s="2858"/>
      <c r="F112" s="2858"/>
      <c r="G112" s="2858"/>
      <c r="H112" s="2858"/>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58"/>
      <c r="AD112" s="2858"/>
      <c r="AE112" s="2858"/>
      <c r="AF112" s="2858"/>
      <c r="AG112" s="2858"/>
      <c r="AH112" s="2858"/>
      <c r="AI112" s="2858"/>
      <c r="AJ112" s="2858"/>
      <c r="AK112" s="2858"/>
      <c r="AL112" s="2858"/>
      <c r="AM112" s="2858"/>
      <c r="AN112" s="2858"/>
      <c r="AO112" s="2858"/>
      <c r="AP112" s="2858"/>
      <c r="AQ112" s="2858"/>
      <c r="AR112" s="2858"/>
      <c r="AS112" s="2858"/>
      <c r="AT112" s="2858"/>
      <c r="AU112" s="2858"/>
      <c r="AV112" s="2858"/>
      <c r="AW112" s="2858"/>
      <c r="AX112" s="2859"/>
      <c r="AY112" s="1531"/>
      <c r="AZ112" s="1531"/>
      <c r="BA112" s="1531"/>
      <c r="BB112" s="1531"/>
      <c r="BC112" s="1531"/>
      <c r="BD112" s="1531"/>
      <c r="BE112" s="1537"/>
    </row>
    <row r="113" spans="1:57" ht="15.75" customHeight="1">
      <c r="A113" s="1836"/>
      <c r="B113" s="2857"/>
      <c r="C113" s="2858"/>
      <c r="D113" s="2858"/>
      <c r="E113" s="2858"/>
      <c r="F113" s="2858"/>
      <c r="G113" s="2858"/>
      <c r="H113" s="2858"/>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58"/>
      <c r="AD113" s="2858"/>
      <c r="AE113" s="2858"/>
      <c r="AF113" s="2858"/>
      <c r="AG113" s="2858"/>
      <c r="AH113" s="2858"/>
      <c r="AI113" s="2858"/>
      <c r="AJ113" s="2858"/>
      <c r="AK113" s="2858"/>
      <c r="AL113" s="2858"/>
      <c r="AM113" s="2858"/>
      <c r="AN113" s="2858"/>
      <c r="AO113" s="2858"/>
      <c r="AP113" s="2858"/>
      <c r="AQ113" s="2858"/>
      <c r="AR113" s="2858"/>
      <c r="AS113" s="2858"/>
      <c r="AT113" s="2858"/>
      <c r="AU113" s="2858"/>
      <c r="AV113" s="2858"/>
      <c r="AW113" s="2858"/>
      <c r="AX113" s="2859"/>
      <c r="AY113" s="1531"/>
      <c r="AZ113" s="1531"/>
      <c r="BA113" s="1531"/>
      <c r="BB113" s="1531"/>
      <c r="BC113" s="1531"/>
      <c r="BD113" s="1531"/>
      <c r="BE113" s="1537"/>
    </row>
    <row r="114" spans="1:57" ht="15.75" customHeight="1">
      <c r="A114" s="1836"/>
      <c r="B114" s="2857"/>
      <c r="C114" s="2858"/>
      <c r="D114" s="2858"/>
      <c r="E114" s="2858"/>
      <c r="F114" s="2858"/>
      <c r="G114" s="2858"/>
      <c r="H114" s="2858"/>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58"/>
      <c r="AD114" s="2858"/>
      <c r="AE114" s="2858"/>
      <c r="AF114" s="2858"/>
      <c r="AG114" s="2858"/>
      <c r="AH114" s="2858"/>
      <c r="AI114" s="2858"/>
      <c r="AJ114" s="2858"/>
      <c r="AK114" s="2858"/>
      <c r="AL114" s="2858"/>
      <c r="AM114" s="2858"/>
      <c r="AN114" s="2858"/>
      <c r="AO114" s="2858"/>
      <c r="AP114" s="2858"/>
      <c r="AQ114" s="2858"/>
      <c r="AR114" s="2858"/>
      <c r="AS114" s="2858"/>
      <c r="AT114" s="2858"/>
      <c r="AU114" s="2858"/>
      <c r="AV114" s="2858"/>
      <c r="AW114" s="2858"/>
      <c r="AX114" s="2859"/>
      <c r="AY114" s="1531"/>
      <c r="AZ114" s="1531"/>
      <c r="BA114" s="1531"/>
      <c r="BB114" s="1531"/>
      <c r="BC114" s="1531"/>
      <c r="BD114" s="1531"/>
      <c r="BE114" s="1537"/>
    </row>
    <row r="115" spans="1:57" ht="15.75" customHeight="1">
      <c r="A115" s="1836"/>
      <c r="B115" s="2857"/>
      <c r="C115" s="2858"/>
      <c r="D115" s="2858"/>
      <c r="E115" s="2858"/>
      <c r="F115" s="2858"/>
      <c r="G115" s="2858"/>
      <c r="H115" s="2858"/>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58"/>
      <c r="AD115" s="2858"/>
      <c r="AE115" s="2858"/>
      <c r="AF115" s="2858"/>
      <c r="AG115" s="2858"/>
      <c r="AH115" s="2858"/>
      <c r="AI115" s="2858"/>
      <c r="AJ115" s="2858"/>
      <c r="AK115" s="2858"/>
      <c r="AL115" s="2858"/>
      <c r="AM115" s="2858"/>
      <c r="AN115" s="2858"/>
      <c r="AO115" s="2858"/>
      <c r="AP115" s="2858"/>
      <c r="AQ115" s="2858"/>
      <c r="AR115" s="2858"/>
      <c r="AS115" s="2858"/>
      <c r="AT115" s="2858"/>
      <c r="AU115" s="2858"/>
      <c r="AV115" s="2858"/>
      <c r="AW115" s="2858"/>
      <c r="AX115" s="2859"/>
      <c r="AY115" s="1531"/>
      <c r="AZ115" s="1531"/>
      <c r="BA115" s="1531"/>
      <c r="BB115" s="1531"/>
      <c r="BC115" s="1531"/>
      <c r="BD115" s="1531"/>
      <c r="BE115" s="1537"/>
    </row>
    <row r="116" spans="1:57" ht="15.75" customHeight="1" thickBot="1">
      <c r="A116" s="1836"/>
      <c r="B116" s="2860"/>
      <c r="C116" s="2861"/>
      <c r="D116" s="2861"/>
      <c r="E116" s="2861"/>
      <c r="F116" s="2861"/>
      <c r="G116" s="2861"/>
      <c r="H116" s="2861"/>
      <c r="I116" s="2861"/>
      <c r="J116" s="2861"/>
      <c r="K116" s="2861"/>
      <c r="L116" s="2861"/>
      <c r="M116" s="2861"/>
      <c r="N116" s="2861"/>
      <c r="O116" s="2861"/>
      <c r="P116" s="2861"/>
      <c r="Q116" s="2861"/>
      <c r="R116" s="2861"/>
      <c r="S116" s="2861"/>
      <c r="T116" s="2861"/>
      <c r="U116" s="2861"/>
      <c r="V116" s="2861"/>
      <c r="W116" s="2861"/>
      <c r="X116" s="2861"/>
      <c r="Y116" s="2861"/>
      <c r="Z116" s="2861"/>
      <c r="AA116" s="2861"/>
      <c r="AB116" s="2861"/>
      <c r="AC116" s="2861"/>
      <c r="AD116" s="2861"/>
      <c r="AE116" s="2861"/>
      <c r="AF116" s="2861"/>
      <c r="AG116" s="2861"/>
      <c r="AH116" s="2861"/>
      <c r="AI116" s="2861"/>
      <c r="AJ116" s="2861"/>
      <c r="AK116" s="2861"/>
      <c r="AL116" s="2861"/>
      <c r="AM116" s="2861"/>
      <c r="AN116" s="2861"/>
      <c r="AO116" s="2861"/>
      <c r="AP116" s="2861"/>
      <c r="AQ116" s="2861"/>
      <c r="AR116" s="2861"/>
      <c r="AS116" s="2861"/>
      <c r="AT116" s="2861"/>
      <c r="AU116" s="2861"/>
      <c r="AV116" s="2861"/>
      <c r="AW116" s="2861"/>
      <c r="AX116" s="286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2121</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30" t="s">
        <v>2122</v>
      </c>
      <c r="C120" s="2631"/>
      <c r="D120" s="2631"/>
      <c r="E120" s="2631"/>
      <c r="F120" s="2631"/>
      <c r="G120" s="2631"/>
      <c r="H120" s="2631"/>
      <c r="I120" s="2631"/>
      <c r="J120" s="2631"/>
      <c r="K120" s="2631"/>
      <c r="L120" s="2631"/>
      <c r="M120" s="2631"/>
      <c r="N120" s="2631"/>
      <c r="O120" s="2631"/>
      <c r="P120" s="2631"/>
      <c r="Q120" s="2631"/>
      <c r="R120" s="2631"/>
      <c r="S120" s="2631"/>
      <c r="T120" s="2631"/>
      <c r="U120" s="2834"/>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5"/>
      <c r="C121" s="2836"/>
      <c r="D121" s="2836"/>
      <c r="E121" s="2836"/>
      <c r="F121" s="2836"/>
      <c r="G121" s="2836"/>
      <c r="H121" s="2837"/>
      <c r="I121" s="2767" t="s">
        <v>2105</v>
      </c>
      <c r="J121" s="2768"/>
      <c r="K121" s="2768"/>
      <c r="L121" s="2768"/>
      <c r="M121" s="2768"/>
      <c r="N121" s="2768"/>
      <c r="O121" s="2838"/>
      <c r="P121" s="2767" t="s">
        <v>2116</v>
      </c>
      <c r="Q121" s="2768"/>
      <c r="R121" s="2768"/>
      <c r="S121" s="2768"/>
      <c r="T121" s="2768"/>
      <c r="U121" s="2838"/>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9" t="s">
        <v>2108</v>
      </c>
      <c r="C122" s="2840"/>
      <c r="D122" s="2840"/>
      <c r="E122" s="2840"/>
      <c r="F122" s="2840"/>
      <c r="G122" s="2840"/>
      <c r="H122" s="2840"/>
      <c r="I122" s="2820"/>
      <c r="J122" s="2821"/>
      <c r="K122" s="2821"/>
      <c r="L122" s="2821"/>
      <c r="M122" s="2821"/>
      <c r="N122" s="2821"/>
      <c r="O122" s="2822"/>
      <c r="P122" s="2820"/>
      <c r="Q122" s="2821"/>
      <c r="R122" s="2821"/>
      <c r="S122" s="2821"/>
      <c r="T122" s="2821"/>
      <c r="U122" s="282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70" t="s">
        <v>2109</v>
      </c>
      <c r="C123" s="2771"/>
      <c r="D123" s="2771"/>
      <c r="E123" s="2771"/>
      <c r="F123" s="2771"/>
      <c r="G123" s="2771"/>
      <c r="H123" s="2771"/>
      <c r="I123" s="2820"/>
      <c r="J123" s="2821"/>
      <c r="K123" s="2821"/>
      <c r="L123" s="2821"/>
      <c r="M123" s="2821"/>
      <c r="N123" s="2821"/>
      <c r="O123" s="2822"/>
      <c r="P123" s="2820"/>
      <c r="Q123" s="2821"/>
      <c r="R123" s="2821"/>
      <c r="S123" s="2821"/>
      <c r="T123" s="2821"/>
      <c r="U123" s="282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1" t="s">
        <v>2123</v>
      </c>
      <c r="D125" s="2842"/>
      <c r="E125" s="2842"/>
      <c r="F125" s="2842"/>
      <c r="G125" s="2842"/>
      <c r="H125" s="2842"/>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42"/>
      <c r="AD125" s="2842"/>
      <c r="AE125" s="2842"/>
      <c r="AF125" s="2842"/>
      <c r="AG125" s="2843"/>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4" t="s">
        <v>2124</v>
      </c>
      <c r="D126" s="2845"/>
      <c r="E126" s="2845"/>
      <c r="F126" s="2845"/>
      <c r="G126" s="2845"/>
      <c r="H126" s="2845"/>
      <c r="I126" s="2845"/>
      <c r="J126" s="2845"/>
      <c r="K126" s="2845"/>
      <c r="L126" s="2845"/>
      <c r="M126" s="2845"/>
      <c r="N126" s="2845"/>
      <c r="O126" s="2845"/>
      <c r="P126" s="2846"/>
      <c r="Q126" s="2847" t="s">
        <v>2125</v>
      </c>
      <c r="R126" s="2845"/>
      <c r="S126" s="2846"/>
      <c r="T126" s="2848" t="s">
        <v>2126</v>
      </c>
      <c r="U126" s="2849"/>
      <c r="V126" s="2849"/>
      <c r="W126" s="2849"/>
      <c r="X126" s="2849"/>
      <c r="Y126" s="2849"/>
      <c r="Z126" s="2849"/>
      <c r="AA126" s="2850"/>
      <c r="AB126" s="2851" t="s">
        <v>2127</v>
      </c>
      <c r="AC126" s="2852"/>
      <c r="AD126" s="2852"/>
      <c r="AE126" s="2852"/>
      <c r="AF126" s="2852"/>
      <c r="AG126" s="285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3" t="s">
        <v>2128</v>
      </c>
      <c r="D127" s="2864"/>
      <c r="E127" s="2864"/>
      <c r="F127" s="2864"/>
      <c r="G127" s="2864"/>
      <c r="H127" s="2864"/>
      <c r="I127" s="2864"/>
      <c r="J127" s="2864"/>
      <c r="K127" s="2864"/>
      <c r="L127" s="2864"/>
      <c r="M127" s="2864"/>
      <c r="N127" s="2864"/>
      <c r="O127" s="2864"/>
      <c r="P127" s="2865"/>
      <c r="Q127" s="2866">
        <v>55</v>
      </c>
      <c r="R127" s="2867"/>
      <c r="S127" s="2868"/>
      <c r="T127" s="2874"/>
      <c r="U127" s="2875"/>
      <c r="V127" s="2875"/>
      <c r="W127" s="2875"/>
      <c r="X127" s="2875"/>
      <c r="Y127" s="2875"/>
      <c r="Z127" s="2875"/>
      <c r="AA127" s="287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3" t="s">
        <v>432</v>
      </c>
      <c r="D128" s="2864"/>
      <c r="E128" s="2864"/>
      <c r="F128" s="2864"/>
      <c r="G128" s="2864"/>
      <c r="H128" s="2864"/>
      <c r="I128" s="2864"/>
      <c r="J128" s="2864"/>
      <c r="K128" s="2864"/>
      <c r="L128" s="2864"/>
      <c r="M128" s="2864"/>
      <c r="N128" s="2864"/>
      <c r="O128" s="2864"/>
      <c r="P128" s="2865"/>
      <c r="Q128" s="2866">
        <v>55</v>
      </c>
      <c r="R128" s="2867"/>
      <c r="S128" s="2868"/>
      <c r="T128" s="2876" t="str">
        <f>_xlfn.CONCAT(Application!AC515,"/", Application!AH515)</f>
        <v>N/A/</v>
      </c>
      <c r="U128" s="2877"/>
      <c r="V128" s="2877"/>
      <c r="W128" s="2877"/>
      <c r="X128" s="2877"/>
      <c r="Y128" s="2877"/>
      <c r="Z128" s="2877"/>
      <c r="AA128" s="2877"/>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3" t="s">
        <v>2129</v>
      </c>
      <c r="D129" s="2864"/>
      <c r="E129" s="2864"/>
      <c r="F129" s="2864"/>
      <c r="G129" s="2864"/>
      <c r="H129" s="2864"/>
      <c r="I129" s="2864"/>
      <c r="J129" s="2864"/>
      <c r="K129" s="2864"/>
      <c r="L129" s="2864"/>
      <c r="M129" s="2864"/>
      <c r="N129" s="2864"/>
      <c r="O129" s="2864"/>
      <c r="P129" s="2865"/>
      <c r="Q129" s="2866">
        <v>55</v>
      </c>
      <c r="R129" s="2867"/>
      <c r="S129" s="2868"/>
      <c r="T129" s="2869"/>
      <c r="U129" s="2870"/>
      <c r="V129" s="2870"/>
      <c r="W129" s="2870"/>
      <c r="X129" s="2870"/>
      <c r="Y129" s="2870"/>
      <c r="Z129" s="2870"/>
      <c r="AA129" s="287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3" t="s">
        <v>2130</v>
      </c>
      <c r="D130" s="2864"/>
      <c r="E130" s="2864"/>
      <c r="F130" s="2864"/>
      <c r="G130" s="2864"/>
      <c r="H130" s="2864"/>
      <c r="I130" s="2864"/>
      <c r="J130" s="2864"/>
      <c r="K130" s="2864"/>
      <c r="L130" s="2864"/>
      <c r="M130" s="2864"/>
      <c r="N130" s="2864"/>
      <c r="O130" s="2864"/>
      <c r="P130" s="2865"/>
      <c r="Q130" s="2871"/>
      <c r="R130" s="2872"/>
      <c r="S130" s="2873"/>
      <c r="T130" s="2874"/>
      <c r="U130" s="2875"/>
      <c r="V130" s="2875"/>
      <c r="W130" s="2875"/>
      <c r="X130" s="2875"/>
      <c r="Y130" s="2875"/>
      <c r="Z130" s="2875"/>
      <c r="AA130" s="287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3" t="s">
        <v>2083</v>
      </c>
      <c r="D131" s="2864"/>
      <c r="E131" s="2864"/>
      <c r="F131" s="2864"/>
      <c r="G131" s="2864"/>
      <c r="H131" s="2864"/>
      <c r="I131" s="2864"/>
      <c r="J131" s="2864"/>
      <c r="K131" s="2864"/>
      <c r="L131" s="2864"/>
      <c r="M131" s="2864"/>
      <c r="N131" s="2864"/>
      <c r="O131" s="2864"/>
      <c r="P131" s="2865"/>
      <c r="Q131" s="2878">
        <f>Application!AG400</f>
        <v>0</v>
      </c>
      <c r="R131" s="2879"/>
      <c r="S131" s="2880"/>
      <c r="T131" s="2874"/>
      <c r="U131" s="2875"/>
      <c r="V131" s="2875"/>
      <c r="W131" s="2875"/>
      <c r="X131" s="2875"/>
      <c r="Y131" s="2875"/>
      <c r="Z131" s="2875"/>
      <c r="AA131" s="2881"/>
      <c r="AB131" s="2882">
        <f>Application!AE401</f>
        <v>0</v>
      </c>
      <c r="AC131" s="2883"/>
      <c r="AD131" s="2883"/>
      <c r="AE131" s="2883"/>
      <c r="AF131" s="2883"/>
      <c r="AG131" s="288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9" t="s">
        <v>175</v>
      </c>
      <c r="D132" s="2600"/>
      <c r="E132" s="2600"/>
      <c r="F132" s="2885" t="s">
        <v>2131</v>
      </c>
      <c r="G132" s="2885"/>
      <c r="H132" s="2885"/>
      <c r="I132" s="2885"/>
      <c r="J132" s="2885"/>
      <c r="K132" s="2885"/>
      <c r="L132" s="2885"/>
      <c r="M132" s="2885"/>
      <c r="N132" s="2885"/>
      <c r="O132" s="2885"/>
      <c r="P132" s="2885"/>
      <c r="Q132" s="2886">
        <v>55</v>
      </c>
      <c r="R132" s="2886"/>
      <c r="S132" s="2886"/>
      <c r="T132" s="2887"/>
      <c r="U132" s="2887"/>
      <c r="V132" s="2887"/>
      <c r="W132" s="2887"/>
      <c r="X132" s="2887"/>
      <c r="Y132" s="2887"/>
      <c r="Z132" s="2887"/>
      <c r="AA132" s="2887"/>
      <c r="AB132" s="2888"/>
      <c r="AC132" s="2889"/>
      <c r="AD132" s="2889"/>
      <c r="AE132" s="2889"/>
      <c r="AF132" s="2889"/>
      <c r="AG132" s="2890"/>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9" t="s">
        <v>175</v>
      </c>
      <c r="D133" s="2600"/>
      <c r="E133" s="2600"/>
      <c r="F133" s="2885" t="s">
        <v>2131</v>
      </c>
      <c r="G133" s="2885"/>
      <c r="H133" s="2885"/>
      <c r="I133" s="2885"/>
      <c r="J133" s="2885"/>
      <c r="K133" s="2885"/>
      <c r="L133" s="2885"/>
      <c r="M133" s="2885"/>
      <c r="N133" s="2885"/>
      <c r="O133" s="2885"/>
      <c r="P133" s="2885"/>
      <c r="Q133" s="2886">
        <v>55</v>
      </c>
      <c r="R133" s="2886"/>
      <c r="S133" s="2886"/>
      <c r="T133" s="2887"/>
      <c r="U133" s="2887"/>
      <c r="V133" s="2887"/>
      <c r="W133" s="2887"/>
      <c r="X133" s="2887"/>
      <c r="Y133" s="2887"/>
      <c r="Z133" s="2887"/>
      <c r="AA133" s="2887"/>
      <c r="AB133" s="2888"/>
      <c r="AC133" s="2889"/>
      <c r="AD133" s="2889"/>
      <c r="AE133" s="2889"/>
      <c r="AF133" s="2889"/>
      <c r="AG133" s="289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9" t="s">
        <v>175</v>
      </c>
      <c r="D134" s="2600"/>
      <c r="E134" s="2600"/>
      <c r="F134" s="2891" t="s">
        <v>2131</v>
      </c>
      <c r="G134" s="2891"/>
      <c r="H134" s="2891"/>
      <c r="I134" s="2891"/>
      <c r="J134" s="2891"/>
      <c r="K134" s="2891"/>
      <c r="L134" s="2891"/>
      <c r="M134" s="2891"/>
      <c r="N134" s="2891"/>
      <c r="O134" s="2891"/>
      <c r="P134" s="2891"/>
      <c r="Q134" s="2773">
        <v>55</v>
      </c>
      <c r="R134" s="2773"/>
      <c r="S134" s="2773"/>
      <c r="T134" s="2772"/>
      <c r="U134" s="2772"/>
      <c r="V134" s="2772"/>
      <c r="W134" s="2772"/>
      <c r="X134" s="2772"/>
      <c r="Y134" s="2772"/>
      <c r="Z134" s="2772"/>
      <c r="AA134" s="2772"/>
      <c r="AB134" s="2892"/>
      <c r="AC134" s="2893"/>
      <c r="AD134" s="2893"/>
      <c r="AE134" s="2893"/>
      <c r="AF134" s="2893"/>
      <c r="AG134" s="2894"/>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1" t="s">
        <v>2132</v>
      </c>
      <c r="D136" s="2602"/>
      <c r="E136" s="2602"/>
      <c r="F136" s="2602"/>
      <c r="G136" s="2602"/>
      <c r="H136" s="2602"/>
      <c r="I136" s="2602"/>
      <c r="J136" s="2602"/>
      <c r="K136" s="2602"/>
      <c r="L136" s="2602"/>
      <c r="M136" s="2602"/>
      <c r="N136" s="2603"/>
      <c r="O136" s="1531"/>
      <c r="P136" s="2896" t="s">
        <v>2133</v>
      </c>
      <c r="Q136" s="2897"/>
      <c r="R136" s="2897"/>
      <c r="S136" s="2897"/>
      <c r="T136" s="2897"/>
      <c r="U136" s="2897"/>
      <c r="V136" s="2897"/>
      <c r="W136" s="2897"/>
      <c r="X136" s="2897"/>
      <c r="Y136" s="2897"/>
      <c r="Z136" s="2897"/>
      <c r="AA136" s="2897"/>
      <c r="AB136" s="2897"/>
      <c r="AC136" s="2897"/>
      <c r="AD136" s="2897"/>
      <c r="AE136" s="2897"/>
      <c r="AF136" s="2897"/>
      <c r="AG136" s="2897"/>
      <c r="AH136" s="2897"/>
      <c r="AI136" s="2897"/>
      <c r="AJ136" s="2897"/>
      <c r="AK136" s="2897"/>
      <c r="AL136" s="2897"/>
      <c r="AM136" s="2897"/>
      <c r="AN136" s="2897"/>
      <c r="AO136" s="289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6" t="s">
        <v>2134</v>
      </c>
      <c r="D137" s="2807"/>
      <c r="E137" s="2807"/>
      <c r="F137" s="2807"/>
      <c r="G137" s="2807"/>
      <c r="H137" s="2808"/>
      <c r="I137" s="2806" t="s">
        <v>2135</v>
      </c>
      <c r="J137" s="2807"/>
      <c r="K137" s="2807"/>
      <c r="L137" s="2807"/>
      <c r="M137" s="2807"/>
      <c r="N137" s="2808"/>
      <c r="O137" s="1531"/>
      <c r="P137" s="2899"/>
      <c r="Q137" s="2900"/>
      <c r="R137" s="2900"/>
      <c r="S137" s="2900"/>
      <c r="T137" s="2900"/>
      <c r="U137" s="2900"/>
      <c r="V137" s="2900"/>
      <c r="W137" s="2900"/>
      <c r="X137" s="2900"/>
      <c r="Y137" s="2900"/>
      <c r="Z137" s="2900"/>
      <c r="AA137" s="2900"/>
      <c r="AB137" s="2900"/>
      <c r="AC137" s="2900"/>
      <c r="AD137" s="2900"/>
      <c r="AE137" s="2900"/>
      <c r="AF137" s="2900"/>
      <c r="AG137" s="2900"/>
      <c r="AH137" s="2900"/>
      <c r="AI137" s="2900"/>
      <c r="AJ137" s="2900"/>
      <c r="AK137" s="2900"/>
      <c r="AL137" s="2900"/>
      <c r="AM137" s="2900"/>
      <c r="AN137" s="2900"/>
      <c r="AO137" s="290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10"/>
      <c r="D138" s="2710"/>
      <c r="E138" s="2710"/>
      <c r="F138" s="2710"/>
      <c r="G138" s="2710"/>
      <c r="H138" s="2710"/>
      <c r="I138" s="2895"/>
      <c r="J138" s="2895"/>
      <c r="K138" s="2895"/>
      <c r="L138" s="2895"/>
      <c r="M138" s="2895"/>
      <c r="N138" s="2895"/>
      <c r="O138" s="1531"/>
      <c r="P138" s="2899"/>
      <c r="Q138" s="2900"/>
      <c r="R138" s="2900"/>
      <c r="S138" s="2900"/>
      <c r="T138" s="2900"/>
      <c r="U138" s="2900"/>
      <c r="V138" s="2900"/>
      <c r="W138" s="2900"/>
      <c r="X138" s="2900"/>
      <c r="Y138" s="2900"/>
      <c r="Z138" s="2900"/>
      <c r="AA138" s="2900"/>
      <c r="AB138" s="2900"/>
      <c r="AC138" s="2900"/>
      <c r="AD138" s="2900"/>
      <c r="AE138" s="2900"/>
      <c r="AF138" s="2900"/>
      <c r="AG138" s="2900"/>
      <c r="AH138" s="2900"/>
      <c r="AI138" s="2900"/>
      <c r="AJ138" s="2900"/>
      <c r="AK138" s="2900"/>
      <c r="AL138" s="2900"/>
      <c r="AM138" s="2900"/>
      <c r="AN138" s="2900"/>
      <c r="AO138" s="290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10"/>
      <c r="D139" s="2710"/>
      <c r="E139" s="2710"/>
      <c r="F139" s="2710"/>
      <c r="G139" s="2710"/>
      <c r="H139" s="2710"/>
      <c r="I139" s="2895"/>
      <c r="J139" s="2895"/>
      <c r="K139" s="2895"/>
      <c r="L139" s="2895"/>
      <c r="M139" s="2895"/>
      <c r="N139" s="2895"/>
      <c r="O139" s="1531"/>
      <c r="P139" s="2899"/>
      <c r="Q139" s="2900"/>
      <c r="R139" s="2900"/>
      <c r="S139" s="2900"/>
      <c r="T139" s="2900"/>
      <c r="U139" s="2900"/>
      <c r="V139" s="2900"/>
      <c r="W139" s="2900"/>
      <c r="X139" s="2900"/>
      <c r="Y139" s="2900"/>
      <c r="Z139" s="2900"/>
      <c r="AA139" s="2900"/>
      <c r="AB139" s="2900"/>
      <c r="AC139" s="2900"/>
      <c r="AD139" s="2900"/>
      <c r="AE139" s="2900"/>
      <c r="AF139" s="2900"/>
      <c r="AG139" s="2900"/>
      <c r="AH139" s="2900"/>
      <c r="AI139" s="2900"/>
      <c r="AJ139" s="2900"/>
      <c r="AK139" s="2900"/>
      <c r="AL139" s="2900"/>
      <c r="AM139" s="2900"/>
      <c r="AN139" s="2900"/>
      <c r="AO139" s="290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10"/>
      <c r="D140" s="2710"/>
      <c r="E140" s="2710"/>
      <c r="F140" s="2710"/>
      <c r="G140" s="2710"/>
      <c r="H140" s="2710"/>
      <c r="I140" s="2895"/>
      <c r="J140" s="2895"/>
      <c r="K140" s="2895"/>
      <c r="L140" s="2895"/>
      <c r="M140" s="2895"/>
      <c r="N140" s="2895"/>
      <c r="O140" s="1531"/>
      <c r="P140" s="2899"/>
      <c r="Q140" s="2900"/>
      <c r="R140" s="2900"/>
      <c r="S140" s="2900"/>
      <c r="T140" s="2900"/>
      <c r="U140" s="2900"/>
      <c r="V140" s="2900"/>
      <c r="W140" s="2900"/>
      <c r="X140" s="2900"/>
      <c r="Y140" s="2900"/>
      <c r="Z140" s="2900"/>
      <c r="AA140" s="2900"/>
      <c r="AB140" s="2900"/>
      <c r="AC140" s="2900"/>
      <c r="AD140" s="2900"/>
      <c r="AE140" s="2900"/>
      <c r="AF140" s="2900"/>
      <c r="AG140" s="2900"/>
      <c r="AH140" s="2900"/>
      <c r="AI140" s="2900"/>
      <c r="AJ140" s="2900"/>
      <c r="AK140" s="2900"/>
      <c r="AL140" s="2900"/>
      <c r="AM140" s="2900"/>
      <c r="AN140" s="2900"/>
      <c r="AO140" s="290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10"/>
      <c r="D141" s="2710"/>
      <c r="E141" s="2710"/>
      <c r="F141" s="2710"/>
      <c r="G141" s="2710"/>
      <c r="H141" s="2710"/>
      <c r="I141" s="2895"/>
      <c r="J141" s="2895"/>
      <c r="K141" s="2895"/>
      <c r="L141" s="2895"/>
      <c r="M141" s="2895"/>
      <c r="N141" s="2895"/>
      <c r="O141" s="1531"/>
      <c r="P141" s="2899"/>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10"/>
      <c r="D142" s="2710"/>
      <c r="E142" s="2710"/>
      <c r="F142" s="2710"/>
      <c r="G142" s="2710"/>
      <c r="H142" s="2710"/>
      <c r="I142" s="2895"/>
      <c r="J142" s="2895"/>
      <c r="K142" s="2895"/>
      <c r="L142" s="2895"/>
      <c r="M142" s="2895"/>
      <c r="N142" s="2895"/>
      <c r="O142" s="1531"/>
      <c r="P142" s="2899"/>
      <c r="Q142" s="2900"/>
      <c r="R142" s="2900"/>
      <c r="S142" s="2900"/>
      <c r="T142" s="2900"/>
      <c r="U142" s="2900"/>
      <c r="V142" s="2900"/>
      <c r="W142" s="2900"/>
      <c r="X142" s="2900"/>
      <c r="Y142" s="2900"/>
      <c r="Z142" s="2900"/>
      <c r="AA142" s="2900"/>
      <c r="AB142" s="2900"/>
      <c r="AC142" s="2900"/>
      <c r="AD142" s="2900"/>
      <c r="AE142" s="2900"/>
      <c r="AF142" s="2900"/>
      <c r="AG142" s="2900"/>
      <c r="AH142" s="2900"/>
      <c r="AI142" s="2900"/>
      <c r="AJ142" s="2900"/>
      <c r="AK142" s="2900"/>
      <c r="AL142" s="2900"/>
      <c r="AM142" s="2900"/>
      <c r="AN142" s="2900"/>
      <c r="AO142" s="290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10"/>
      <c r="D143" s="2710"/>
      <c r="E143" s="2710"/>
      <c r="F143" s="2710"/>
      <c r="G143" s="2710"/>
      <c r="H143" s="2710"/>
      <c r="I143" s="2895"/>
      <c r="J143" s="2895"/>
      <c r="K143" s="2895"/>
      <c r="L143" s="2895"/>
      <c r="M143" s="2895"/>
      <c r="N143" s="2895"/>
      <c r="O143" s="1531"/>
      <c r="P143" s="2899"/>
      <c r="Q143" s="2900"/>
      <c r="R143" s="2900"/>
      <c r="S143" s="2900"/>
      <c r="T143" s="2900"/>
      <c r="U143" s="2900"/>
      <c r="V143" s="2900"/>
      <c r="W143" s="2900"/>
      <c r="X143" s="2900"/>
      <c r="Y143" s="2900"/>
      <c r="Z143" s="2900"/>
      <c r="AA143" s="2900"/>
      <c r="AB143" s="2900"/>
      <c r="AC143" s="2900"/>
      <c r="AD143" s="2900"/>
      <c r="AE143" s="2900"/>
      <c r="AF143" s="2900"/>
      <c r="AG143" s="2900"/>
      <c r="AH143" s="2900"/>
      <c r="AI143" s="2900"/>
      <c r="AJ143" s="2900"/>
      <c r="AK143" s="2900"/>
      <c r="AL143" s="2900"/>
      <c r="AM143" s="2900"/>
      <c r="AN143" s="2900"/>
      <c r="AO143" s="290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10"/>
      <c r="D144" s="2710"/>
      <c r="E144" s="2710"/>
      <c r="F144" s="2710"/>
      <c r="G144" s="2710"/>
      <c r="H144" s="2710"/>
      <c r="I144" s="2895"/>
      <c r="J144" s="2895"/>
      <c r="K144" s="2895"/>
      <c r="L144" s="2895"/>
      <c r="M144" s="2895"/>
      <c r="N144" s="2895"/>
      <c r="O144" s="1531"/>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2136</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2137</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5"/>
      <c r="D149" s="2916"/>
      <c r="E149" s="2916"/>
      <c r="F149" s="2916"/>
      <c r="G149" s="2916"/>
      <c r="H149" s="2916"/>
      <c r="I149" s="2916"/>
      <c r="J149" s="2916"/>
      <c r="K149" s="2916"/>
      <c r="L149" s="2916"/>
      <c r="M149" s="2917"/>
      <c r="N149" s="2918" t="s">
        <v>2138</v>
      </c>
      <c r="O149" s="2918"/>
      <c r="P149" s="2918"/>
      <c r="Q149" s="2918"/>
      <c r="R149" s="2918"/>
      <c r="S149" s="2918"/>
      <c r="T149" s="2919"/>
      <c r="U149" s="2920" t="s">
        <v>2124</v>
      </c>
      <c r="V149" s="2750"/>
      <c r="W149" s="2750"/>
      <c r="X149" s="2750"/>
      <c r="Y149" s="2750"/>
      <c r="Z149" s="2750"/>
      <c r="AA149" s="2750"/>
      <c r="AB149" s="2750"/>
      <c r="AC149" s="2750"/>
      <c r="AD149" s="2750"/>
      <c r="AE149" s="2751"/>
      <c r="AF149" s="1531"/>
      <c r="AG149" s="1531"/>
      <c r="AH149" s="2594" t="s">
        <v>2139</v>
      </c>
      <c r="AI149" s="2595"/>
      <c r="AJ149" s="2595"/>
      <c r="AK149" s="2595"/>
      <c r="AL149" s="2595"/>
      <c r="AM149" s="2595"/>
      <c r="AN149" s="2595"/>
      <c r="AO149" s="2595"/>
      <c r="AP149" s="2595"/>
      <c r="AQ149" s="2595"/>
      <c r="AR149" s="2595"/>
      <c r="AS149" s="2905"/>
      <c r="AT149" s="2906"/>
      <c r="AU149" s="2906"/>
      <c r="AV149" s="2906"/>
      <c r="AW149" s="2906"/>
      <c r="AX149" s="1531"/>
      <c r="AY149" s="1531"/>
      <c r="AZ149" s="1531"/>
      <c r="BA149" s="1531"/>
      <c r="BB149" s="1531"/>
      <c r="BC149" s="1531"/>
      <c r="BD149" s="1531"/>
      <c r="BE149" s="1537"/>
    </row>
    <row r="150" spans="1:57" ht="15.75" customHeight="1">
      <c r="A150" s="1836"/>
      <c r="B150" s="1531"/>
      <c r="C150" s="2844" t="s">
        <v>2140</v>
      </c>
      <c r="D150" s="2845"/>
      <c r="E150" s="2845"/>
      <c r="F150" s="2845"/>
      <c r="G150" s="2845"/>
      <c r="H150" s="2845"/>
      <c r="I150" s="2845"/>
      <c r="J150" s="2845"/>
      <c r="K150" s="2845"/>
      <c r="L150" s="2845"/>
      <c r="M150" s="2907"/>
      <c r="N150" s="2908">
        <f>'Sources and Uses Budget'!B104</f>
        <v>7491538</v>
      </c>
      <c r="O150" s="2908"/>
      <c r="P150" s="2908"/>
      <c r="Q150" s="2908"/>
      <c r="R150" s="2908"/>
      <c r="S150" s="2908"/>
      <c r="T150" s="2909"/>
      <c r="U150" s="2910"/>
      <c r="V150" s="2911"/>
      <c r="W150" s="2911"/>
      <c r="X150" s="2911"/>
      <c r="Y150" s="2911"/>
      <c r="Z150" s="2911"/>
      <c r="AA150" s="2911"/>
      <c r="AB150" s="2911"/>
      <c r="AC150" s="2911"/>
      <c r="AD150" s="2911"/>
      <c r="AE150" s="2912"/>
      <c r="AF150" s="1531"/>
      <c r="AG150" s="1531"/>
      <c r="AH150" s="2913" t="s">
        <v>2141</v>
      </c>
      <c r="AI150" s="2914"/>
      <c r="AJ150" s="2914"/>
      <c r="AK150" s="2914"/>
      <c r="AL150" s="2914"/>
      <c r="AM150" s="2914"/>
      <c r="AN150" s="2914"/>
      <c r="AO150" s="2914"/>
      <c r="AP150" s="2914"/>
      <c r="AQ150" s="2914"/>
      <c r="AR150" s="2914"/>
      <c r="AS150" s="2905"/>
      <c r="AT150" s="2906"/>
      <c r="AU150" s="2906"/>
      <c r="AV150" s="2906"/>
      <c r="AW150" s="2906"/>
      <c r="AX150" s="1531"/>
      <c r="AY150" s="1531"/>
      <c r="AZ150" s="1531"/>
      <c r="BA150" s="1531"/>
      <c r="BB150" s="1531"/>
      <c r="BC150" s="1531"/>
      <c r="BD150" s="1531"/>
      <c r="BE150" s="1537"/>
    </row>
    <row r="151" spans="1:57" ht="15.75" customHeight="1">
      <c r="A151" s="1836"/>
      <c r="B151" s="1531"/>
      <c r="C151" s="2844" t="s">
        <v>2142</v>
      </c>
      <c r="D151" s="2845"/>
      <c r="E151" s="2845"/>
      <c r="F151" s="2845"/>
      <c r="G151" s="2845"/>
      <c r="H151" s="2845"/>
      <c r="I151" s="2845"/>
      <c r="J151" s="2845"/>
      <c r="K151" s="2845"/>
      <c r="L151" s="2845"/>
      <c r="M151" s="2907"/>
      <c r="N151" s="2908">
        <f>N150/J29</f>
        <v>55907</v>
      </c>
      <c r="O151" s="2908"/>
      <c r="P151" s="2908"/>
      <c r="Q151" s="2908"/>
      <c r="R151" s="2908"/>
      <c r="S151" s="2908"/>
      <c r="T151" s="2909"/>
      <c r="U151" s="1555"/>
      <c r="V151" s="1555"/>
      <c r="W151" s="1555"/>
      <c r="X151" s="1555"/>
      <c r="Y151" s="1555"/>
      <c r="Z151" s="1555"/>
      <c r="AA151" s="1555"/>
      <c r="AB151" s="1555"/>
      <c r="AC151" s="1555"/>
      <c r="AD151" s="1555"/>
      <c r="AE151" s="1556"/>
      <c r="AF151" s="1531"/>
      <c r="AG151" s="1531"/>
      <c r="AH151" s="2863" t="s">
        <v>2143</v>
      </c>
      <c r="AI151" s="2864"/>
      <c r="AJ151" s="2864"/>
      <c r="AK151" s="2864"/>
      <c r="AL151" s="2864"/>
      <c r="AM151" s="2864"/>
      <c r="AN151" s="2864"/>
      <c r="AO151" s="2864"/>
      <c r="AP151" s="2864"/>
      <c r="AQ151" s="2864"/>
      <c r="AR151" s="2865"/>
      <c r="AS151" s="2905"/>
      <c r="AT151" s="2906"/>
      <c r="AU151" s="2906"/>
      <c r="AV151" s="2906"/>
      <c r="AW151" s="2906"/>
      <c r="AX151" s="1531"/>
      <c r="AY151" s="1531"/>
      <c r="AZ151" s="1531"/>
      <c r="BA151" s="1531"/>
      <c r="BB151" s="1531"/>
      <c r="BC151" s="1531"/>
      <c r="BD151" s="1531"/>
      <c r="BE151" s="1537"/>
    </row>
    <row r="152" spans="1:57" ht="15.75" customHeight="1">
      <c r="A152" s="1836"/>
      <c r="B152" s="1531"/>
      <c r="C152" s="2931" t="s">
        <v>2144</v>
      </c>
      <c r="D152" s="2768"/>
      <c r="E152" s="2768"/>
      <c r="F152" s="2768"/>
      <c r="G152" s="2768"/>
      <c r="H152" s="2768"/>
      <c r="I152" s="2768"/>
      <c r="J152" s="2768"/>
      <c r="K152" s="2768"/>
      <c r="L152" s="2768"/>
      <c r="M152" s="2769"/>
      <c r="N152" s="2932"/>
      <c r="O152" s="2932"/>
      <c r="P152" s="2932"/>
      <c r="Q152" s="2932"/>
      <c r="R152" s="2932"/>
      <c r="S152" s="2932"/>
      <c r="T152" s="2933"/>
      <c r="U152" s="2938"/>
      <c r="V152" s="2939"/>
      <c r="W152" s="2939"/>
      <c r="X152" s="2939"/>
      <c r="Y152" s="2939"/>
      <c r="Z152" s="2939"/>
      <c r="AA152" s="2939"/>
      <c r="AB152" s="2939"/>
      <c r="AC152" s="2939"/>
      <c r="AD152" s="2939"/>
      <c r="AE152" s="2940"/>
      <c r="AF152" s="1531"/>
      <c r="AG152" s="1531"/>
      <c r="AH152" s="2910"/>
      <c r="AI152" s="2911"/>
      <c r="AJ152" s="2911"/>
      <c r="AK152" s="2911"/>
      <c r="AL152" s="2911"/>
      <c r="AM152" s="2911"/>
      <c r="AN152" s="2911"/>
      <c r="AO152" s="2911"/>
      <c r="AP152" s="2911"/>
      <c r="AQ152" s="2911"/>
      <c r="AR152" s="2934"/>
      <c r="AS152" s="2935"/>
      <c r="AT152" s="2936"/>
      <c r="AU152" s="2936"/>
      <c r="AV152" s="2936"/>
      <c r="AW152" s="2937"/>
      <c r="AX152" s="1531"/>
      <c r="AY152" s="1531"/>
      <c r="AZ152" s="1531"/>
      <c r="BA152" s="1531"/>
      <c r="BB152" s="1531"/>
      <c r="BC152" s="1531"/>
      <c r="BD152" s="1531"/>
      <c r="BE152" s="1537"/>
    </row>
    <row r="153" spans="1:57" ht="15.75" customHeight="1" thickBot="1">
      <c r="A153" s="1836"/>
      <c r="B153" s="1531"/>
      <c r="C153" s="2863" t="s">
        <v>2145</v>
      </c>
      <c r="D153" s="2864"/>
      <c r="E153" s="2864"/>
      <c r="F153" s="2864"/>
      <c r="G153" s="2864"/>
      <c r="H153" s="2864"/>
      <c r="I153" s="2864"/>
      <c r="J153" s="2864"/>
      <c r="K153" s="2864"/>
      <c r="L153" s="2864"/>
      <c r="M153" s="2921"/>
      <c r="N153" s="2922">
        <f>SUM('Sources and Uses Budget'!B85:B86)</f>
        <v>6081512</v>
      </c>
      <c r="O153" s="2922"/>
      <c r="P153" s="2922"/>
      <c r="Q153" s="2922"/>
      <c r="R153" s="2922"/>
      <c r="S153" s="2922"/>
      <c r="T153" s="2923"/>
      <c r="U153" s="2924"/>
      <c r="V153" s="2925"/>
      <c r="W153" s="2925"/>
      <c r="X153" s="2925"/>
      <c r="Y153" s="2925"/>
      <c r="Z153" s="2925"/>
      <c r="AA153" s="2925"/>
      <c r="AB153" s="2925"/>
      <c r="AC153" s="2925"/>
      <c r="AD153" s="2925"/>
      <c r="AE153" s="2926"/>
      <c r="AF153" s="1531"/>
      <c r="AG153" s="1531"/>
      <c r="AH153" s="2927" t="s">
        <v>2146</v>
      </c>
      <c r="AI153" s="2928"/>
      <c r="AJ153" s="2928"/>
      <c r="AK153" s="2928"/>
      <c r="AL153" s="2928"/>
      <c r="AM153" s="2928"/>
      <c r="AN153" s="2928"/>
      <c r="AO153" s="2928"/>
      <c r="AP153" s="2928"/>
      <c r="AQ153" s="2928"/>
      <c r="AR153" s="2928"/>
      <c r="AS153" s="2929">
        <f>SUM(AS149:AW151)</f>
        <v>0</v>
      </c>
      <c r="AT153" s="2930"/>
      <c r="AU153" s="2930"/>
      <c r="AV153" s="2930"/>
      <c r="AW153" s="2930"/>
      <c r="AX153" s="1531"/>
      <c r="AY153" s="1531"/>
      <c r="AZ153" s="1531"/>
      <c r="BA153" s="1531"/>
      <c r="BB153" s="1531"/>
      <c r="BC153" s="1531"/>
      <c r="BD153" s="1531"/>
      <c r="BE153" s="1537"/>
    </row>
    <row r="154" spans="1:57" ht="15.75" customHeight="1">
      <c r="A154" s="1836"/>
      <c r="B154" s="1531"/>
      <c r="C154" s="2863" t="s">
        <v>2147</v>
      </c>
      <c r="D154" s="2864"/>
      <c r="E154" s="2864"/>
      <c r="F154" s="2864"/>
      <c r="G154" s="2864"/>
      <c r="H154" s="2864"/>
      <c r="I154" s="2864"/>
      <c r="J154" s="2864"/>
      <c r="K154" s="2864"/>
      <c r="L154" s="2864"/>
      <c r="M154" s="2921"/>
      <c r="N154" s="2922">
        <f>'Sources and Uses Budget'!B8</f>
        <v>4050000</v>
      </c>
      <c r="O154" s="2922"/>
      <c r="P154" s="2922"/>
      <c r="Q154" s="2922"/>
      <c r="R154" s="2922"/>
      <c r="S154" s="2922"/>
      <c r="T154" s="2923"/>
      <c r="U154" s="2924"/>
      <c r="V154" s="2925"/>
      <c r="W154" s="2925"/>
      <c r="X154" s="2925"/>
      <c r="Y154" s="2925"/>
      <c r="Z154" s="2925"/>
      <c r="AA154" s="2925"/>
      <c r="AB154" s="2925"/>
      <c r="AC154" s="2925"/>
      <c r="AD154" s="2925"/>
      <c r="AE154" s="292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3" t="s">
        <v>2148</v>
      </c>
      <c r="D155" s="2864"/>
      <c r="E155" s="2864"/>
      <c r="F155" s="2864"/>
      <c r="G155" s="2864"/>
      <c r="H155" s="2864"/>
      <c r="I155" s="2864"/>
      <c r="J155" s="2864"/>
      <c r="K155" s="2864"/>
      <c r="L155" s="2864"/>
      <c r="M155" s="2921"/>
      <c r="N155" s="2944"/>
      <c r="O155" s="2944"/>
      <c r="P155" s="2944"/>
      <c r="Q155" s="2944"/>
      <c r="R155" s="2944"/>
      <c r="S155" s="2944"/>
      <c r="T155" s="2945"/>
      <c r="U155" s="2924"/>
      <c r="V155" s="2925"/>
      <c r="W155" s="2925"/>
      <c r="X155" s="2925"/>
      <c r="Y155" s="2925"/>
      <c r="Z155" s="2925"/>
      <c r="AA155" s="2925"/>
      <c r="AB155" s="2925"/>
      <c r="AC155" s="2925"/>
      <c r="AD155" s="2925"/>
      <c r="AE155" s="292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3" t="s">
        <v>2141</v>
      </c>
      <c r="D156" s="2864"/>
      <c r="E156" s="2864"/>
      <c r="F156" s="2864"/>
      <c r="G156" s="2864"/>
      <c r="H156" s="2864"/>
      <c r="I156" s="2864"/>
      <c r="J156" s="2864"/>
      <c r="K156" s="2864"/>
      <c r="L156" s="2864"/>
      <c r="M156" s="2921"/>
      <c r="N156" s="2944"/>
      <c r="O156" s="2944"/>
      <c r="P156" s="2944"/>
      <c r="Q156" s="2944"/>
      <c r="R156" s="2944"/>
      <c r="S156" s="2944"/>
      <c r="T156" s="2945"/>
      <c r="U156" s="2924"/>
      <c r="V156" s="2925"/>
      <c r="W156" s="2925"/>
      <c r="X156" s="2925"/>
      <c r="Y156" s="2925"/>
      <c r="Z156" s="2925"/>
      <c r="AA156" s="2925"/>
      <c r="AB156" s="2925"/>
      <c r="AC156" s="2925"/>
      <c r="AD156" s="2925"/>
      <c r="AE156" s="292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1" t="s">
        <v>310</v>
      </c>
      <c r="D157" s="2942"/>
      <c r="E157" s="2885" t="s">
        <v>2131</v>
      </c>
      <c r="F157" s="2885"/>
      <c r="G157" s="2885"/>
      <c r="H157" s="2885"/>
      <c r="I157" s="2885"/>
      <c r="J157" s="2885"/>
      <c r="K157" s="2885"/>
      <c r="L157" s="2885"/>
      <c r="M157" s="2943"/>
      <c r="N157" s="2944"/>
      <c r="O157" s="2944"/>
      <c r="P157" s="2944"/>
      <c r="Q157" s="2944"/>
      <c r="R157" s="2944"/>
      <c r="S157" s="2944"/>
      <c r="T157" s="2945"/>
      <c r="U157" s="2924"/>
      <c r="V157" s="2925"/>
      <c r="W157" s="2925"/>
      <c r="X157" s="2925"/>
      <c r="Y157" s="2925"/>
      <c r="Z157" s="2925"/>
      <c r="AA157" s="2925"/>
      <c r="AB157" s="2925"/>
      <c r="AC157" s="2925"/>
      <c r="AD157" s="2925"/>
      <c r="AE157" s="292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8" t="s">
        <v>310</v>
      </c>
      <c r="D158" s="2939"/>
      <c r="E158" s="2885" t="s">
        <v>2131</v>
      </c>
      <c r="F158" s="2885"/>
      <c r="G158" s="2885"/>
      <c r="H158" s="2885"/>
      <c r="I158" s="2885"/>
      <c r="J158" s="2885"/>
      <c r="K158" s="2885"/>
      <c r="L158" s="2885"/>
      <c r="M158" s="2943"/>
      <c r="N158" s="2944"/>
      <c r="O158" s="2944"/>
      <c r="P158" s="2944"/>
      <c r="Q158" s="2944"/>
      <c r="R158" s="2944"/>
      <c r="S158" s="2944"/>
      <c r="T158" s="2945"/>
      <c r="U158" s="2924"/>
      <c r="V158" s="2925"/>
      <c r="W158" s="2925"/>
      <c r="X158" s="2925"/>
      <c r="Y158" s="2925"/>
      <c r="Z158" s="2925"/>
      <c r="AA158" s="2925"/>
      <c r="AB158" s="2925"/>
      <c r="AC158" s="2925"/>
      <c r="AD158" s="2925"/>
      <c r="AE158" s="292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7" t="s">
        <v>310</v>
      </c>
      <c r="D159" s="2958"/>
      <c r="E159" s="2891" t="s">
        <v>2131</v>
      </c>
      <c r="F159" s="2891"/>
      <c r="G159" s="2891"/>
      <c r="H159" s="2891"/>
      <c r="I159" s="2891"/>
      <c r="J159" s="2891"/>
      <c r="K159" s="2891"/>
      <c r="L159" s="2891"/>
      <c r="M159" s="2959"/>
      <c r="N159" s="2960"/>
      <c r="O159" s="2960"/>
      <c r="P159" s="2960"/>
      <c r="Q159" s="2960"/>
      <c r="R159" s="2960"/>
      <c r="S159" s="2960"/>
      <c r="T159" s="2961"/>
      <c r="U159" s="2962"/>
      <c r="V159" s="2963"/>
      <c r="W159" s="2963"/>
      <c r="X159" s="2963"/>
      <c r="Y159" s="2963"/>
      <c r="Z159" s="2963"/>
      <c r="AA159" s="2963"/>
      <c r="AB159" s="2963"/>
      <c r="AC159" s="2963"/>
      <c r="AD159" s="2963"/>
      <c r="AE159" s="296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5" t="s">
        <v>2149</v>
      </c>
      <c r="D160" s="2966"/>
      <c r="E160" s="2966"/>
      <c r="F160" s="2966"/>
      <c r="G160" s="2966"/>
      <c r="H160" s="2966"/>
      <c r="I160" s="2966"/>
      <c r="J160" s="2966"/>
      <c r="K160" s="2966"/>
      <c r="L160" s="2966"/>
      <c r="M160" s="2967"/>
      <c r="N160" s="2968">
        <f>SUM(N152:T159)</f>
        <v>10131512</v>
      </c>
      <c r="O160" s="2969"/>
      <c r="P160" s="2969"/>
      <c r="Q160" s="2969"/>
      <c r="R160" s="2969"/>
      <c r="S160" s="2969"/>
      <c r="T160" s="297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70" t="s">
        <v>2150</v>
      </c>
      <c r="D161" s="2771"/>
      <c r="E161" s="2771"/>
      <c r="F161" s="2771"/>
      <c r="G161" s="2771"/>
      <c r="H161" s="2771"/>
      <c r="I161" s="2771"/>
      <c r="J161" s="2771"/>
      <c r="K161" s="2771"/>
      <c r="L161" s="2771"/>
      <c r="M161" s="2771"/>
      <c r="N161" s="2946">
        <f>(N150-N160)/J29</f>
        <v>-19701.298507462685</v>
      </c>
      <c r="O161" s="2946"/>
      <c r="P161" s="2946"/>
      <c r="Q161" s="2946"/>
      <c r="R161" s="2946"/>
      <c r="S161" s="2946"/>
      <c r="T161" s="294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8" t="s">
        <v>2151</v>
      </c>
      <c r="C164" s="2949"/>
      <c r="D164" s="2949"/>
      <c r="E164" s="2949"/>
      <c r="F164" s="2949"/>
      <c r="G164" s="2949"/>
      <c r="H164" s="2949"/>
      <c r="I164" s="2949"/>
      <c r="J164" s="2949"/>
      <c r="K164" s="2949"/>
      <c r="L164" s="2949"/>
      <c r="M164" s="2949"/>
      <c r="N164" s="2949"/>
      <c r="O164" s="2949"/>
      <c r="P164" s="2949"/>
      <c r="Q164" s="2949"/>
      <c r="R164" s="2949"/>
      <c r="S164" s="2949"/>
      <c r="T164" s="2949"/>
      <c r="U164" s="2949"/>
      <c r="V164" s="2949"/>
      <c r="W164" s="2949"/>
      <c r="X164" s="2949"/>
      <c r="Y164" s="2949"/>
      <c r="Z164" s="2949"/>
      <c r="AA164" s="2949"/>
      <c r="AB164" s="2949"/>
      <c r="AC164" s="2949"/>
      <c r="AD164" s="2949"/>
      <c r="AE164" s="2949"/>
      <c r="AF164" s="2949"/>
      <c r="AG164" s="2949"/>
      <c r="AH164" s="2949"/>
      <c r="AI164" s="2949"/>
      <c r="AJ164" s="2949"/>
      <c r="AK164" s="2949"/>
      <c r="AL164" s="2949"/>
      <c r="AM164" s="2949"/>
      <c r="AN164" s="2949"/>
      <c r="AO164" s="2949"/>
      <c r="AP164" s="2949"/>
      <c r="AQ164" s="2949"/>
      <c r="AR164" s="2949"/>
      <c r="AS164" s="2949"/>
      <c r="AT164" s="2949"/>
      <c r="AU164" s="2949"/>
      <c r="AV164" s="2949"/>
      <c r="AW164" s="2949"/>
      <c r="AX164" s="2949"/>
      <c r="AY164" s="2949"/>
      <c r="AZ164" s="2949"/>
      <c r="BA164" s="2949"/>
      <c r="BB164" s="2949"/>
      <c r="BC164" s="2949"/>
      <c r="BD164" s="2950"/>
      <c r="BE164" s="1537"/>
    </row>
    <row r="165" spans="1:57" ht="15.75" customHeight="1">
      <c r="A165" s="1836"/>
      <c r="B165" s="2951"/>
      <c r="C165" s="2952"/>
      <c r="D165" s="2952"/>
      <c r="E165" s="2952"/>
      <c r="F165" s="2952"/>
      <c r="G165" s="2952"/>
      <c r="H165" s="2952"/>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52"/>
      <c r="AD165" s="2952"/>
      <c r="AE165" s="2952"/>
      <c r="AF165" s="2952"/>
      <c r="AG165" s="2952"/>
      <c r="AH165" s="2952"/>
      <c r="AI165" s="2952"/>
      <c r="AJ165" s="2952"/>
      <c r="AK165" s="2952"/>
      <c r="AL165" s="2952"/>
      <c r="AM165" s="2952"/>
      <c r="AN165" s="2952"/>
      <c r="AO165" s="2952"/>
      <c r="AP165" s="2952"/>
      <c r="AQ165" s="2952"/>
      <c r="AR165" s="2952"/>
      <c r="AS165" s="2952"/>
      <c r="AT165" s="2952"/>
      <c r="AU165" s="2952"/>
      <c r="AV165" s="2952"/>
      <c r="AW165" s="2952"/>
      <c r="AX165" s="2952"/>
      <c r="AY165" s="2952"/>
      <c r="AZ165" s="2952"/>
      <c r="BA165" s="2952"/>
      <c r="BB165" s="2952"/>
      <c r="BC165" s="2952"/>
      <c r="BD165" s="2953"/>
      <c r="BE165" s="1537"/>
    </row>
    <row r="166" spans="1:57" ht="15.75" customHeight="1">
      <c r="A166" s="1836"/>
      <c r="B166" s="2954" t="s">
        <v>2152</v>
      </c>
      <c r="C166" s="2955"/>
      <c r="D166" s="2955"/>
      <c r="E166" s="2955"/>
      <c r="F166" s="2955"/>
      <c r="G166" s="2955"/>
      <c r="H166" s="2955"/>
      <c r="I166" s="2955"/>
      <c r="J166" s="2955"/>
      <c r="K166" s="2955"/>
      <c r="L166" s="2955"/>
      <c r="M166" s="2955"/>
      <c r="N166" s="2955"/>
      <c r="O166" s="2955"/>
      <c r="P166" s="2955"/>
      <c r="Q166" s="2955"/>
      <c r="R166" s="2955"/>
      <c r="S166" s="2955"/>
      <c r="T166" s="2955"/>
      <c r="U166" s="2955"/>
      <c r="V166" s="2955"/>
      <c r="W166" s="2955"/>
      <c r="X166" s="2955"/>
      <c r="Y166" s="2955"/>
      <c r="Z166" s="2955"/>
      <c r="AA166" s="2955"/>
      <c r="AB166" s="2955"/>
      <c r="AC166" s="2955"/>
      <c r="AD166" s="2955"/>
      <c r="AE166" s="2955"/>
      <c r="AF166" s="2955"/>
      <c r="AG166" s="2955"/>
      <c r="AH166" s="2955"/>
      <c r="AI166" s="2955"/>
      <c r="AJ166" s="2955"/>
      <c r="AK166" s="2955"/>
      <c r="AL166" s="2955"/>
      <c r="AM166" s="2955"/>
      <c r="AN166" s="2955"/>
      <c r="AO166" s="2955"/>
      <c r="AP166" s="2955"/>
      <c r="AQ166" s="2955"/>
      <c r="AR166" s="2955"/>
      <c r="AS166" s="2955"/>
      <c r="AT166" s="2955"/>
      <c r="AU166" s="2955"/>
      <c r="AV166" s="2955"/>
      <c r="AW166" s="2955"/>
      <c r="AX166" s="2955"/>
      <c r="AY166" s="2955"/>
      <c r="AZ166" s="2955"/>
      <c r="BA166" s="2955"/>
      <c r="BB166" s="2955"/>
      <c r="BC166" s="2955"/>
      <c r="BD166" s="2956"/>
      <c r="BE166" s="1537"/>
    </row>
    <row r="167" spans="1:57" ht="15.75" customHeight="1">
      <c r="A167" s="1836"/>
      <c r="B167" s="2954" t="s">
        <v>2153</v>
      </c>
      <c r="C167" s="2955"/>
      <c r="D167" s="2955"/>
      <c r="E167" s="2955"/>
      <c r="F167" s="2955"/>
      <c r="G167" s="2955"/>
      <c r="H167" s="2955"/>
      <c r="I167" s="2955"/>
      <c r="J167" s="2955"/>
      <c r="K167" s="2955"/>
      <c r="L167" s="2955"/>
      <c r="M167" s="2955"/>
      <c r="N167" s="2955"/>
      <c r="O167" s="2955"/>
      <c r="P167" s="2955"/>
      <c r="Q167" s="2955"/>
      <c r="R167" s="2955"/>
      <c r="S167" s="2955"/>
      <c r="T167" s="2955"/>
      <c r="U167" s="2955"/>
      <c r="V167" s="2955"/>
      <c r="W167" s="2955"/>
      <c r="X167" s="2955"/>
      <c r="Y167" s="2955"/>
      <c r="Z167" s="2955"/>
      <c r="AA167" s="2955"/>
      <c r="AB167" s="2955"/>
      <c r="AC167" s="2955"/>
      <c r="AD167" s="2955"/>
      <c r="AE167" s="2955"/>
      <c r="AF167" s="2955"/>
      <c r="AG167" s="2955"/>
      <c r="AH167" s="2955"/>
      <c r="AI167" s="2955"/>
      <c r="AJ167" s="2955"/>
      <c r="AK167" s="2955"/>
      <c r="AL167" s="2955"/>
      <c r="AM167" s="2955"/>
      <c r="AN167" s="2955"/>
      <c r="AO167" s="2955"/>
      <c r="AP167" s="2955"/>
      <c r="AQ167" s="2955"/>
      <c r="AR167" s="2955"/>
      <c r="AS167" s="2955"/>
      <c r="AT167" s="2955"/>
      <c r="AU167" s="2955"/>
      <c r="AV167" s="2955"/>
      <c r="AW167" s="2955"/>
      <c r="AX167" s="2955"/>
      <c r="AY167" s="2955"/>
      <c r="AZ167" s="2955"/>
      <c r="BA167" s="2955"/>
      <c r="BB167" s="2955"/>
      <c r="BC167" s="2955"/>
      <c r="BD167" s="295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7" t="s">
        <v>2154</v>
      </c>
      <c r="C169" s="2978"/>
      <c r="D169" s="2978"/>
      <c r="E169" s="2978"/>
      <c r="F169" s="2978"/>
      <c r="G169" s="2978"/>
      <c r="H169" s="2978"/>
      <c r="I169" s="2978"/>
      <c r="J169" s="2978"/>
      <c r="K169" s="2978"/>
      <c r="L169" s="2978"/>
      <c r="M169" s="2978"/>
      <c r="N169" s="2978"/>
      <c r="O169" s="2978"/>
      <c r="P169" s="2978"/>
      <c r="Q169" s="2978"/>
      <c r="R169" s="2978"/>
      <c r="S169" s="2978"/>
      <c r="T169" s="2978"/>
      <c r="U169" s="2978"/>
      <c r="V169" s="2978"/>
      <c r="W169" s="2978"/>
      <c r="X169" s="2978"/>
      <c r="Y169" s="2978"/>
      <c r="Z169" s="2978"/>
      <c r="AA169" s="2978"/>
      <c r="AB169" s="2978"/>
      <c r="AC169" s="2978"/>
      <c r="AD169" s="2978"/>
      <c r="AE169" s="2978"/>
      <c r="AF169" s="2978"/>
      <c r="AG169" s="2978"/>
      <c r="AH169" s="2978"/>
      <c r="AI169" s="2978"/>
      <c r="AJ169" s="2978"/>
      <c r="AK169" s="2978"/>
      <c r="AL169" s="2978"/>
      <c r="AM169" s="2978"/>
      <c r="AN169" s="2978"/>
      <c r="AO169" s="2978"/>
      <c r="AP169" s="2978"/>
      <c r="AQ169" s="2978"/>
      <c r="AR169" s="2978"/>
      <c r="AS169" s="2978"/>
      <c r="AT169" s="2978"/>
      <c r="AU169" s="2978"/>
      <c r="AV169" s="2978"/>
      <c r="AW169" s="2978"/>
      <c r="AX169" s="2978"/>
      <c r="AY169" s="2978"/>
      <c r="AZ169" s="2978"/>
      <c r="BA169" s="2978"/>
      <c r="BB169" s="2978"/>
      <c r="BC169" s="2978"/>
      <c r="BD169" s="297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2155</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80" t="s">
        <v>2156</v>
      </c>
      <c r="I173" s="2980"/>
      <c r="J173" s="2980"/>
      <c r="K173" s="2980"/>
      <c r="L173" s="2980"/>
      <c r="M173" s="2980"/>
      <c r="N173" s="2980"/>
      <c r="O173" s="2980"/>
      <c r="P173" s="2980"/>
      <c r="Q173" s="2980"/>
      <c r="R173" s="2980"/>
      <c r="S173" s="2980"/>
      <c r="T173" s="2980"/>
      <c r="U173" s="2980"/>
      <c r="V173" s="2980"/>
      <c r="W173" s="2980"/>
      <c r="X173" s="2980"/>
      <c r="Y173" s="2980"/>
      <c r="Z173" s="2980"/>
      <c r="AA173" s="2980"/>
      <c r="AB173" s="2980"/>
      <c r="AC173" s="2980"/>
      <c r="AD173" s="2980"/>
      <c r="AE173" s="2980"/>
      <c r="AF173" s="2980"/>
      <c r="AG173" s="2980"/>
      <c r="AH173" s="2980"/>
      <c r="AI173" s="2980"/>
      <c r="AJ173" s="2980"/>
      <c r="AK173" s="2980"/>
      <c r="AL173" s="2980"/>
      <c r="AM173" s="2980"/>
      <c r="AN173" s="2980"/>
      <c r="AO173" s="2980"/>
      <c r="AP173" s="2980"/>
      <c r="AQ173" s="2980"/>
      <c r="AR173" s="2980"/>
      <c r="AS173" s="2980"/>
      <c r="AT173" s="2980"/>
      <c r="AU173" s="2980"/>
      <c r="AV173" s="2980"/>
      <c r="AW173" s="2980"/>
      <c r="AX173" s="2980"/>
      <c r="AY173" s="298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1" t="s">
        <v>2157</v>
      </c>
      <c r="I175" s="2981"/>
      <c r="J175" s="2981"/>
      <c r="K175" s="2981"/>
      <c r="L175" s="2981"/>
      <c r="M175" s="2981"/>
      <c r="N175" s="2981"/>
      <c r="O175" s="2981"/>
      <c r="P175" s="2981"/>
      <c r="Q175" s="2981"/>
      <c r="R175" s="2981"/>
      <c r="S175" s="2981"/>
      <c r="T175" s="2981"/>
      <c r="U175" s="2981"/>
      <c r="V175" s="2981"/>
      <c r="W175" s="2981"/>
      <c r="X175" s="2981"/>
      <c r="Y175" s="2981"/>
      <c r="Z175" s="2981"/>
      <c r="AA175" s="2981"/>
      <c r="AB175" s="2981"/>
      <c r="AC175" s="2981"/>
      <c r="AD175" s="2981"/>
      <c r="AE175" s="2981"/>
      <c r="AF175" s="2981"/>
      <c r="AG175" s="2981"/>
      <c r="AH175" s="2981"/>
      <c r="AI175" s="2981"/>
      <c r="AJ175" s="2981"/>
      <c r="AK175" s="2981"/>
      <c r="AL175" s="2981"/>
      <c r="AM175" s="2981"/>
      <c r="AN175" s="2981"/>
      <c r="AO175" s="2981"/>
      <c r="AP175" s="2981"/>
      <c r="AQ175" s="2981"/>
      <c r="AR175" s="2981"/>
      <c r="AS175" s="2981"/>
      <c r="AT175" s="2981"/>
      <c r="AU175" s="2981"/>
      <c r="AV175" s="2981"/>
      <c r="AW175" s="2981"/>
      <c r="AX175" s="2981"/>
      <c r="AY175" s="2981"/>
      <c r="AZ175" s="2981"/>
      <c r="BA175" s="1557"/>
      <c r="BB175" s="1557"/>
      <c r="BC175" s="1557"/>
      <c r="BD175" s="1537"/>
      <c r="BE175" s="1537"/>
    </row>
    <row r="176" spans="1:57" ht="15.75" customHeight="1">
      <c r="A176" s="1836"/>
      <c r="B176" s="1530"/>
      <c r="C176" s="1557"/>
      <c r="D176" s="1557"/>
      <c r="E176" s="1557"/>
      <c r="F176" s="1557"/>
      <c r="G176" s="1557"/>
      <c r="H176" s="2981"/>
      <c r="I176" s="2981"/>
      <c r="J176" s="2981"/>
      <c r="K176" s="2981"/>
      <c r="L176" s="2981"/>
      <c r="M176" s="2981"/>
      <c r="N176" s="2981"/>
      <c r="O176" s="2981"/>
      <c r="P176" s="2981"/>
      <c r="Q176" s="2981"/>
      <c r="R176" s="2981"/>
      <c r="S176" s="2981"/>
      <c r="T176" s="2981"/>
      <c r="U176" s="2981"/>
      <c r="V176" s="2981"/>
      <c r="W176" s="2981"/>
      <c r="X176" s="2981"/>
      <c r="Y176" s="2981"/>
      <c r="Z176" s="2981"/>
      <c r="AA176" s="2981"/>
      <c r="AB176" s="2981"/>
      <c r="AC176" s="2981"/>
      <c r="AD176" s="2981"/>
      <c r="AE176" s="2981"/>
      <c r="AF176" s="2981"/>
      <c r="AG176" s="2981"/>
      <c r="AH176" s="2981"/>
      <c r="AI176" s="2981"/>
      <c r="AJ176" s="2981"/>
      <c r="AK176" s="2981"/>
      <c r="AL176" s="2981"/>
      <c r="AM176" s="2981"/>
      <c r="AN176" s="2981"/>
      <c r="AO176" s="2981"/>
      <c r="AP176" s="2981"/>
      <c r="AQ176" s="2981"/>
      <c r="AR176" s="2981"/>
      <c r="AS176" s="2981"/>
      <c r="AT176" s="2981"/>
      <c r="AU176" s="2981"/>
      <c r="AV176" s="2981"/>
      <c r="AW176" s="2981"/>
      <c r="AX176" s="2981"/>
      <c r="AY176" s="2981"/>
      <c r="AZ176" s="2981"/>
      <c r="BA176" s="1557"/>
      <c r="BB176" s="1557"/>
      <c r="BC176" s="1557"/>
      <c r="BD176" s="1537"/>
      <c r="BE176" s="1537"/>
    </row>
    <row r="177" spans="1:57" ht="15.75" customHeight="1">
      <c r="A177" s="1836"/>
      <c r="B177" s="1530"/>
      <c r="C177" s="1557"/>
      <c r="D177" s="1557"/>
      <c r="E177" s="1557"/>
      <c r="F177" s="1557"/>
      <c r="G177" s="1557"/>
      <c r="H177" s="2981"/>
      <c r="I177" s="2981"/>
      <c r="J177" s="2981"/>
      <c r="K177" s="2981"/>
      <c r="L177" s="2981"/>
      <c r="M177" s="2981"/>
      <c r="N177" s="2981"/>
      <c r="O177" s="2981"/>
      <c r="P177" s="2981"/>
      <c r="Q177" s="2981"/>
      <c r="R177" s="2981"/>
      <c r="S177" s="2981"/>
      <c r="T177" s="2981"/>
      <c r="U177" s="2981"/>
      <c r="V177" s="2981"/>
      <c r="W177" s="2981"/>
      <c r="X177" s="2981"/>
      <c r="Y177" s="2981"/>
      <c r="Z177" s="2981"/>
      <c r="AA177" s="2981"/>
      <c r="AB177" s="2981"/>
      <c r="AC177" s="2981"/>
      <c r="AD177" s="2981"/>
      <c r="AE177" s="2981"/>
      <c r="AF177" s="2981"/>
      <c r="AG177" s="2981"/>
      <c r="AH177" s="2981"/>
      <c r="AI177" s="2981"/>
      <c r="AJ177" s="2981"/>
      <c r="AK177" s="2981"/>
      <c r="AL177" s="2981"/>
      <c r="AM177" s="2981"/>
      <c r="AN177" s="2981"/>
      <c r="AO177" s="2981"/>
      <c r="AP177" s="2981"/>
      <c r="AQ177" s="2981"/>
      <c r="AR177" s="2981"/>
      <c r="AS177" s="2981"/>
      <c r="AT177" s="2981"/>
      <c r="AU177" s="2981"/>
      <c r="AV177" s="2981"/>
      <c r="AW177" s="2981"/>
      <c r="AX177" s="2981"/>
      <c r="AY177" s="2981"/>
      <c r="AZ177" s="298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2" t="s">
        <v>2158</v>
      </c>
      <c r="I180" s="2982"/>
      <c r="J180" s="2982"/>
      <c r="K180" s="2982"/>
      <c r="L180" s="2982"/>
      <c r="M180" s="2982"/>
      <c r="N180" s="2982"/>
      <c r="O180" s="2982"/>
      <c r="P180" s="2982"/>
      <c r="Q180" s="2982"/>
      <c r="R180" s="2982"/>
      <c r="S180" s="2982"/>
      <c r="T180" s="2982"/>
      <c r="U180" s="2982"/>
      <c r="V180" s="2982"/>
      <c r="W180" s="2982"/>
      <c r="X180" s="2982"/>
      <c r="Y180" s="2982"/>
      <c r="Z180" s="2982"/>
      <c r="AA180" s="2982"/>
      <c r="AB180" s="2982"/>
      <c r="AC180" s="2982"/>
      <c r="AD180" s="2982"/>
      <c r="AE180" s="2982"/>
      <c r="AF180" s="2982"/>
      <c r="AG180" s="2982"/>
      <c r="AH180" s="2982"/>
      <c r="AI180" s="2982"/>
      <c r="AJ180" s="2982"/>
      <c r="AK180" s="2982"/>
      <c r="AL180" s="2982"/>
      <c r="AM180" s="2982"/>
      <c r="AN180" s="2982"/>
      <c r="AO180" s="2982"/>
      <c r="AP180" s="2982"/>
      <c r="AQ180" s="2982"/>
      <c r="AR180" s="2982"/>
      <c r="AS180" s="2982"/>
      <c r="AT180" s="2982"/>
      <c r="AU180" s="2982"/>
      <c r="AV180" s="298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5" t="s">
        <v>2159</v>
      </c>
      <c r="I182" s="2975"/>
      <c r="J182" s="2975"/>
      <c r="K182" s="2975"/>
      <c r="L182" s="1566"/>
      <c r="M182" s="1566"/>
      <c r="N182" s="1566"/>
      <c r="O182" s="1566"/>
      <c r="P182" s="1566"/>
      <c r="Q182" s="1566"/>
      <c r="R182" s="1566"/>
      <c r="S182" s="2972"/>
      <c r="T182" s="2973"/>
      <c r="U182" s="2973"/>
      <c r="V182" s="2973"/>
      <c r="W182" s="2973"/>
      <c r="X182" s="2973"/>
      <c r="Y182" s="2973"/>
      <c r="Z182" s="2973"/>
      <c r="AA182" s="2973"/>
      <c r="AB182" s="2973"/>
      <c r="AC182" s="2973"/>
      <c r="AD182" s="2973"/>
      <c r="AE182" s="2973"/>
      <c r="AF182" s="2973"/>
      <c r="AG182" s="2973"/>
      <c r="AH182" s="2973"/>
      <c r="AI182" s="2973"/>
      <c r="AJ182" s="297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5" t="s">
        <v>2160</v>
      </c>
      <c r="I184" s="2975"/>
      <c r="J184" s="2975"/>
      <c r="K184" s="1568"/>
      <c r="L184" s="1566"/>
      <c r="M184" s="1566"/>
      <c r="N184" s="1566"/>
      <c r="O184" s="1566"/>
      <c r="P184" s="1566"/>
      <c r="Q184" s="1566"/>
      <c r="R184" s="1566"/>
      <c r="S184" s="2972"/>
      <c r="T184" s="2973"/>
      <c r="U184" s="2973"/>
      <c r="V184" s="2973"/>
      <c r="W184" s="2973"/>
      <c r="X184" s="2973"/>
      <c r="Y184" s="2973"/>
      <c r="Z184" s="2973"/>
      <c r="AA184" s="2973"/>
      <c r="AB184" s="2973"/>
      <c r="AC184" s="2973"/>
      <c r="AD184" s="2973"/>
      <c r="AE184" s="2973"/>
      <c r="AF184" s="2973"/>
      <c r="AG184" s="2973"/>
      <c r="AH184" s="2973"/>
      <c r="AI184" s="2973"/>
      <c r="AJ184" s="297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5" t="s">
        <v>465</v>
      </c>
      <c r="I186" s="2975"/>
      <c r="J186" s="1568"/>
      <c r="K186" s="1568"/>
      <c r="L186" s="1566"/>
      <c r="M186" s="1566"/>
      <c r="N186" s="1566"/>
      <c r="O186" s="1566"/>
      <c r="P186" s="1566"/>
      <c r="Q186" s="1566"/>
      <c r="R186" s="1566"/>
      <c r="S186" s="2972"/>
      <c r="T186" s="2973"/>
      <c r="U186" s="2973"/>
      <c r="V186" s="2973"/>
      <c r="W186" s="2973"/>
      <c r="X186" s="2973"/>
      <c r="Y186" s="2973"/>
      <c r="Z186" s="2973"/>
      <c r="AA186" s="2973"/>
      <c r="AB186" s="2973"/>
      <c r="AC186" s="2973"/>
      <c r="AD186" s="2973"/>
      <c r="AE186" s="2973"/>
      <c r="AF186" s="2973"/>
      <c r="AG186" s="2973"/>
      <c r="AH186" s="2973"/>
      <c r="AI186" s="2973"/>
      <c r="AJ186" s="297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6" t="s">
        <v>2161</v>
      </c>
      <c r="I188" s="2976"/>
      <c r="J188" s="2976"/>
      <c r="K188" s="2976"/>
      <c r="L188" s="2976"/>
      <c r="M188" s="2976"/>
      <c r="N188" s="2976"/>
      <c r="O188" s="2976"/>
      <c r="P188" s="1566"/>
      <c r="Q188" s="1566"/>
      <c r="R188" s="1566"/>
      <c r="S188" s="2972"/>
      <c r="T188" s="2973"/>
      <c r="U188" s="2973"/>
      <c r="V188" s="2973"/>
      <c r="W188" s="2973"/>
      <c r="X188" s="2973"/>
      <c r="Y188" s="2973"/>
      <c r="Z188" s="2973"/>
      <c r="AA188" s="2973"/>
      <c r="AB188" s="2973"/>
      <c r="AC188" s="2973"/>
      <c r="AD188" s="2973"/>
      <c r="AE188" s="2973"/>
      <c r="AF188" s="2973"/>
      <c r="AG188" s="2973"/>
      <c r="AH188" s="2973"/>
      <c r="AI188" s="2973"/>
      <c r="AJ188" s="297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1" t="s">
        <v>2162</v>
      </c>
      <c r="I190" s="2971"/>
      <c r="J190" s="1566"/>
      <c r="K190" s="1566"/>
      <c r="L190" s="1566"/>
      <c r="M190" s="1566"/>
      <c r="N190" s="1566"/>
      <c r="O190" s="1566"/>
      <c r="P190" s="1566"/>
      <c r="Q190" s="1566"/>
      <c r="R190" s="1566"/>
      <c r="S190" s="2972"/>
      <c r="T190" s="2973"/>
      <c r="U190" s="2973"/>
      <c r="V190" s="2973"/>
      <c r="W190" s="2973"/>
      <c r="X190" s="2973"/>
      <c r="Y190" s="2973"/>
      <c r="Z190" s="2973"/>
      <c r="AA190" s="2973"/>
      <c r="AB190" s="2973"/>
      <c r="AC190" s="2973"/>
      <c r="AD190" s="2973"/>
      <c r="AE190" s="2973"/>
      <c r="AF190" s="2973"/>
      <c r="AG190" s="2973"/>
      <c r="AH190" s="2973"/>
      <c r="AI190" s="2973"/>
      <c r="AJ190" s="297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3" zoomScale="97" zoomScaleNormal="118" zoomScaleSheetLayoutView="100" workbookViewId="0">
      <selection activeCell="G818" sqref="G818"/>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25" t="s">
        <v>1571</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row>
    <row r="2" spans="1:42" s="929" customFormat="1" ht="12.75" customHeight="1" thickBot="1">
      <c r="A2" s="3226"/>
      <c r="B2" s="3226"/>
      <c r="C2" s="3226"/>
      <c r="D2" s="3226"/>
      <c r="E2" s="3226"/>
      <c r="F2" s="3226"/>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1" t="s">
        <v>1576</v>
      </c>
      <c r="AF7" s="3201"/>
      <c r="AG7" s="3201"/>
      <c r="AH7" s="3201"/>
      <c r="AI7" s="3201"/>
      <c r="AJ7" s="3201"/>
      <c r="AK7" s="3201"/>
      <c r="AL7" s="935"/>
      <c r="AM7" s="935"/>
      <c r="AN7" s="931"/>
    </row>
    <row r="8" spans="1:42" s="932" customFormat="1" ht="12.75" customHeight="1">
      <c r="A8" s="933"/>
      <c r="B8" s="934" t="s">
        <v>2241</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10" t="s">
        <v>627</v>
      </c>
      <c r="C12" s="3210"/>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7"/>
      <c r="AH12" s="3227"/>
      <c r="AI12" s="3227"/>
      <c r="AJ12" s="322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10" t="s">
        <v>627</v>
      </c>
      <c r="C15" s="3210"/>
      <c r="D15" s="942"/>
      <c r="E15" s="3229" t="s">
        <v>1579</v>
      </c>
      <c r="F15" s="3230"/>
      <c r="G15" s="3230"/>
      <c r="H15" s="3230"/>
      <c r="I15" s="3230"/>
      <c r="J15" s="3230"/>
      <c r="K15" s="3230"/>
      <c r="L15" s="3230"/>
      <c r="M15" s="3230"/>
      <c r="N15" s="3230"/>
      <c r="O15" s="3230"/>
      <c r="P15" s="3230"/>
      <c r="Q15" s="3230"/>
      <c r="R15" s="3230"/>
      <c r="S15" s="3230"/>
      <c r="T15" s="3230"/>
      <c r="U15" s="3230"/>
      <c r="V15" s="3230"/>
      <c r="W15" s="3230"/>
      <c r="X15" s="3230"/>
      <c r="Y15" s="3230"/>
      <c r="Z15" s="3230"/>
      <c r="AA15" s="3230"/>
      <c r="AB15" s="3230"/>
      <c r="AC15" s="3230"/>
      <c r="AD15" s="3230"/>
      <c r="AE15" s="3230"/>
      <c r="AF15" s="3230"/>
      <c r="AG15" s="3230"/>
      <c r="AH15" s="3230"/>
      <c r="AI15" s="3230"/>
      <c r="AJ15" s="3231"/>
      <c r="AK15" s="935"/>
      <c r="AL15" s="935"/>
      <c r="AM15" s="935"/>
      <c r="AN15" s="931"/>
      <c r="AO15" s="945">
        <f>IF($B24="yes",20,0)</f>
        <v>0</v>
      </c>
      <c r="AP15" s="51"/>
    </row>
    <row r="16" spans="1:42" s="932" customFormat="1" ht="12.75" customHeight="1">
      <c r="A16" s="935"/>
      <c r="B16" s="935"/>
      <c r="C16" s="935"/>
      <c r="D16" s="946"/>
      <c r="E16" s="3232"/>
      <c r="F16" s="3233"/>
      <c r="G16" s="3233"/>
      <c r="H16" s="3233"/>
      <c r="I16" s="3233"/>
      <c r="J16" s="3233"/>
      <c r="K16" s="3233"/>
      <c r="L16" s="3233"/>
      <c r="M16" s="3233"/>
      <c r="N16" s="3233"/>
      <c r="O16" s="3233"/>
      <c r="P16" s="3233"/>
      <c r="Q16" s="3233"/>
      <c r="R16" s="3233"/>
      <c r="S16" s="3233"/>
      <c r="T16" s="3233"/>
      <c r="U16" s="3233"/>
      <c r="V16" s="3233"/>
      <c r="W16" s="3233"/>
      <c r="X16" s="3233"/>
      <c r="Y16" s="3233"/>
      <c r="Z16" s="3233"/>
      <c r="AA16" s="3233"/>
      <c r="AB16" s="3233"/>
      <c r="AC16" s="3233"/>
      <c r="AD16" s="3233"/>
      <c r="AE16" s="3233"/>
      <c r="AF16" s="3233"/>
      <c r="AG16" s="3233"/>
      <c r="AH16" s="3233"/>
      <c r="AI16" s="3233"/>
      <c r="AJ16" s="3234"/>
      <c r="AK16" s="935"/>
      <c r="AL16" s="935"/>
      <c r="AM16" s="935"/>
      <c r="AN16" s="931"/>
      <c r="AO16" s="932">
        <f>IF(SUM(AO12:AO15)&gt;20,20,(SUM(AO12:AO15)))</f>
        <v>0</v>
      </c>
      <c r="AP16" s="932" t="s">
        <v>1580</v>
      </c>
    </row>
    <row r="17" spans="1:42" s="932" customFormat="1" ht="12.75" customHeight="1">
      <c r="A17" s="935"/>
      <c r="B17" s="935"/>
      <c r="C17" s="935"/>
      <c r="D17" s="946"/>
      <c r="E17" s="3232"/>
      <c r="F17" s="3233"/>
      <c r="G17" s="3233"/>
      <c r="H17" s="3233"/>
      <c r="I17" s="3233"/>
      <c r="J17" s="3233"/>
      <c r="K17" s="3233"/>
      <c r="L17" s="3233"/>
      <c r="M17" s="3233"/>
      <c r="N17" s="3233"/>
      <c r="O17" s="3233"/>
      <c r="P17" s="3233"/>
      <c r="Q17" s="3233"/>
      <c r="R17" s="3233"/>
      <c r="S17" s="3233"/>
      <c r="T17" s="3233"/>
      <c r="U17" s="3233"/>
      <c r="V17" s="3233"/>
      <c r="W17" s="3233"/>
      <c r="X17" s="3233"/>
      <c r="Y17" s="3233"/>
      <c r="Z17" s="3233"/>
      <c r="AA17" s="3233"/>
      <c r="AB17" s="3233"/>
      <c r="AC17" s="3233"/>
      <c r="AD17" s="3233"/>
      <c r="AE17" s="3233"/>
      <c r="AF17" s="3233"/>
      <c r="AG17" s="3233"/>
      <c r="AH17" s="3233"/>
      <c r="AI17" s="3233"/>
      <c r="AJ17" s="3234"/>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6"/>
      <c r="F19" s="3237"/>
      <c r="G19" s="3237"/>
      <c r="H19" s="3237"/>
      <c r="I19" s="3237"/>
      <c r="J19" s="3237"/>
      <c r="K19" s="3237"/>
      <c r="L19" s="3237"/>
      <c r="M19" s="3237"/>
      <c r="N19" s="3237"/>
      <c r="O19" s="3237"/>
      <c r="P19" s="3237"/>
      <c r="Q19" s="3237"/>
      <c r="R19" s="3237"/>
      <c r="S19" s="3237"/>
      <c r="T19" s="3237"/>
      <c r="U19" s="3237"/>
      <c r="V19" s="3237"/>
      <c r="W19" s="3237"/>
      <c r="X19" s="3237"/>
      <c r="Y19" s="3237"/>
      <c r="Z19" s="3237"/>
      <c r="AA19" s="3237"/>
      <c r="AB19" s="3237"/>
      <c r="AC19" s="3237"/>
      <c r="AD19" s="3237"/>
      <c r="AE19" s="3237"/>
      <c r="AF19" s="3237"/>
      <c r="AG19" s="3237"/>
      <c r="AH19" s="3237"/>
      <c r="AI19" s="3237"/>
      <c r="AJ19" s="3238"/>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10" t="s">
        <v>627</v>
      </c>
      <c r="C21" s="3210"/>
      <c r="D21" s="942"/>
      <c r="E21" s="3239" t="s">
        <v>1582</v>
      </c>
      <c r="F21" s="3240"/>
      <c r="G21" s="3240"/>
      <c r="H21" s="3240"/>
      <c r="I21" s="3240"/>
      <c r="J21" s="3240"/>
      <c r="K21" s="3240"/>
      <c r="L21" s="3240"/>
      <c r="M21" s="3240"/>
      <c r="N21" s="3240"/>
      <c r="O21" s="3240"/>
      <c r="P21" s="3240"/>
      <c r="Q21" s="3240"/>
      <c r="R21" s="3240"/>
      <c r="S21" s="3240"/>
      <c r="T21" s="3240"/>
      <c r="U21" s="3240"/>
      <c r="V21" s="3240"/>
      <c r="W21" s="3240"/>
      <c r="X21" s="3240"/>
      <c r="Y21" s="3240"/>
      <c r="Z21" s="3240"/>
      <c r="AA21" s="3240"/>
      <c r="AB21" s="3240"/>
      <c r="AC21" s="3240"/>
      <c r="AD21" s="3240"/>
      <c r="AE21" s="3240"/>
      <c r="AF21" s="3240"/>
      <c r="AG21" s="3240"/>
      <c r="AH21" s="3240"/>
      <c r="AI21" s="3240"/>
      <c r="AJ21" s="3241"/>
      <c r="AK21" s="935"/>
      <c r="AL21" s="935"/>
      <c r="AM21" s="935"/>
      <c r="AN21" s="931"/>
      <c r="AO21" s="932">
        <f>SUM(AO20)</f>
        <v>0</v>
      </c>
      <c r="AP21" s="932" t="s">
        <v>1580</v>
      </c>
    </row>
    <row r="22" spans="1:42" s="932" customFormat="1" ht="12.75" customHeight="1">
      <c r="A22" s="935"/>
      <c r="B22" s="935"/>
      <c r="C22" s="935"/>
      <c r="D22" s="945"/>
      <c r="E22" s="3242"/>
      <c r="F22" s="3243"/>
      <c r="G22" s="3243"/>
      <c r="H22" s="3243"/>
      <c r="I22" s="3243"/>
      <c r="J22" s="3243"/>
      <c r="K22" s="3243"/>
      <c r="L22" s="3243"/>
      <c r="M22" s="3243"/>
      <c r="N22" s="3243"/>
      <c r="O22" s="3243"/>
      <c r="P22" s="3243"/>
      <c r="Q22" s="3243"/>
      <c r="R22" s="3243"/>
      <c r="S22" s="3243"/>
      <c r="T22" s="3243"/>
      <c r="U22" s="3243"/>
      <c r="V22" s="3243"/>
      <c r="W22" s="3243"/>
      <c r="X22" s="3243"/>
      <c r="Y22" s="3243"/>
      <c r="Z22" s="3243"/>
      <c r="AA22" s="3243"/>
      <c r="AB22" s="3243"/>
      <c r="AC22" s="3243"/>
      <c r="AD22" s="3243"/>
      <c r="AE22" s="3243"/>
      <c r="AF22" s="3243"/>
      <c r="AG22" s="3243"/>
      <c r="AH22" s="3243"/>
      <c r="AI22" s="3243"/>
      <c r="AJ22" s="3244"/>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10" t="s">
        <v>627</v>
      </c>
      <c r="C24" s="3210"/>
      <c r="D24" s="942"/>
      <c r="E24" s="3136" t="s">
        <v>1583</v>
      </c>
      <c r="F24" s="3137"/>
      <c r="G24" s="3137"/>
      <c r="H24" s="3137"/>
      <c r="I24" s="3137"/>
      <c r="J24" s="3137"/>
      <c r="K24" s="3137"/>
      <c r="L24" s="3137"/>
      <c r="M24" s="3137"/>
      <c r="N24" s="3137"/>
      <c r="O24" s="3137"/>
      <c r="P24" s="3137"/>
      <c r="Q24" s="3137"/>
      <c r="R24" s="3137"/>
      <c r="S24" s="3137"/>
      <c r="T24" s="3137"/>
      <c r="U24" s="3137"/>
      <c r="V24" s="3137"/>
      <c r="W24" s="3137"/>
      <c r="X24" s="3137"/>
      <c r="Y24" s="3137"/>
      <c r="Z24" s="3137"/>
      <c r="AA24" s="3137"/>
      <c r="AB24" s="3137"/>
      <c r="AC24" s="3137"/>
      <c r="AD24" s="3137"/>
      <c r="AE24" s="3137"/>
      <c r="AF24" s="3137"/>
      <c r="AG24" s="3137"/>
      <c r="AH24" s="3137"/>
      <c r="AI24" s="3137"/>
      <c r="AJ24" s="3138"/>
      <c r="AK24" s="935"/>
      <c r="AL24" s="935"/>
      <c r="AM24" s="935"/>
      <c r="AN24" s="931"/>
      <c r="AO24" s="945">
        <f>IF($B39="yes",6,0)</f>
        <v>0</v>
      </c>
    </row>
    <row r="25" spans="1:42" s="932" customFormat="1" ht="12.75" customHeight="1">
      <c r="A25" s="935"/>
      <c r="B25" s="935"/>
      <c r="C25" s="935"/>
      <c r="D25" s="945"/>
      <c r="E25" s="3211"/>
      <c r="F25" s="3212"/>
      <c r="G25" s="3212"/>
      <c r="H25" s="3212"/>
      <c r="I25" s="3212"/>
      <c r="J25" s="3212"/>
      <c r="K25" s="3212"/>
      <c r="L25" s="3212"/>
      <c r="M25" s="3212"/>
      <c r="N25" s="3212"/>
      <c r="O25" s="3212"/>
      <c r="P25" s="3212"/>
      <c r="Q25" s="3212"/>
      <c r="R25" s="3212"/>
      <c r="S25" s="3212"/>
      <c r="T25" s="3212"/>
      <c r="U25" s="3212"/>
      <c r="V25" s="3212"/>
      <c r="W25" s="3212"/>
      <c r="X25" s="3212"/>
      <c r="Y25" s="3212"/>
      <c r="Z25" s="3212"/>
      <c r="AA25" s="3212"/>
      <c r="AB25" s="3212"/>
      <c r="AC25" s="3212"/>
      <c r="AD25" s="3212"/>
      <c r="AE25" s="3212"/>
      <c r="AF25" s="3212"/>
      <c r="AG25" s="3212"/>
      <c r="AH25" s="3212"/>
      <c r="AI25" s="3212"/>
      <c r="AJ25" s="3213"/>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10" t="s">
        <v>627</v>
      </c>
      <c r="C29" s="3210"/>
      <c r="D29" s="942"/>
      <c r="E29" s="3136" t="s">
        <v>1585</v>
      </c>
      <c r="F29" s="3137"/>
      <c r="G29" s="3137"/>
      <c r="H29" s="3137"/>
      <c r="I29" s="3137"/>
      <c r="J29" s="3137"/>
      <c r="K29" s="3137"/>
      <c r="L29" s="3137"/>
      <c r="M29" s="3137"/>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8"/>
      <c r="AK29" s="935"/>
      <c r="AL29" s="935"/>
      <c r="AM29" s="935"/>
      <c r="AN29" s="931"/>
      <c r="AO29" s="945">
        <f>IF($B49="yes",6,0)</f>
        <v>0</v>
      </c>
    </row>
    <row r="30" spans="1:42" s="932" customFormat="1" ht="12.75" customHeight="1">
      <c r="A30" s="935"/>
      <c r="B30" s="935"/>
      <c r="C30" s="935"/>
      <c r="E30" s="3139"/>
      <c r="F30" s="3140"/>
      <c r="G30" s="3140"/>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1"/>
      <c r="AK30" s="935"/>
      <c r="AL30" s="935"/>
      <c r="AM30" s="935"/>
      <c r="AN30" s="931"/>
      <c r="AO30" s="932">
        <f>IF(SUM(AO23:AO29)&gt;6,6,(SUM(AO23:AO29)))</f>
        <v>0</v>
      </c>
      <c r="AP30" s="932" t="s">
        <v>1580</v>
      </c>
    </row>
    <row r="31" spans="1:42" s="932" customFormat="1" ht="12.75" customHeight="1">
      <c r="A31" s="935"/>
      <c r="B31" s="935"/>
      <c r="C31" s="935"/>
      <c r="E31" s="3211"/>
      <c r="F31" s="3212"/>
      <c r="G31" s="3212"/>
      <c r="H31" s="3212"/>
      <c r="I31" s="3212"/>
      <c r="J31" s="3212"/>
      <c r="K31" s="3212"/>
      <c r="L31" s="3212"/>
      <c r="M31" s="3212"/>
      <c r="N31" s="3212"/>
      <c r="O31" s="3212"/>
      <c r="P31" s="3212"/>
      <c r="Q31" s="3212"/>
      <c r="R31" s="3212"/>
      <c r="S31" s="3212"/>
      <c r="T31" s="3212"/>
      <c r="U31" s="3212"/>
      <c r="V31" s="3212"/>
      <c r="W31" s="3212"/>
      <c r="X31" s="3212"/>
      <c r="Y31" s="3212"/>
      <c r="Z31" s="3212"/>
      <c r="AA31" s="3212"/>
      <c r="AB31" s="3212"/>
      <c r="AC31" s="3212"/>
      <c r="AD31" s="3212"/>
      <c r="AE31" s="3212"/>
      <c r="AF31" s="3212"/>
      <c r="AG31" s="3212"/>
      <c r="AH31" s="3212"/>
      <c r="AI31" s="3212"/>
      <c r="AJ31" s="3213"/>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5" t="s">
        <v>1587</v>
      </c>
      <c r="C34" s="3235"/>
      <c r="D34" s="3235"/>
      <c r="E34" s="3235"/>
      <c r="F34" s="3235"/>
      <c r="G34" s="3235"/>
      <c r="H34" s="3235"/>
      <c r="I34" s="3235"/>
      <c r="J34" s="3235"/>
      <c r="K34" s="3235"/>
      <c r="L34" s="3235"/>
      <c r="M34" s="3235"/>
      <c r="N34" s="3235"/>
      <c r="O34" s="3235"/>
      <c r="P34" s="3235"/>
      <c r="Q34" s="3235"/>
      <c r="R34" s="3235"/>
      <c r="S34" s="3235"/>
      <c r="T34" s="3235"/>
      <c r="U34" s="3235"/>
      <c r="V34" s="3235"/>
      <c r="W34" s="3235"/>
      <c r="X34" s="3235"/>
      <c r="Y34" s="3235"/>
      <c r="Z34" s="3235"/>
      <c r="AA34" s="3235"/>
      <c r="AB34" s="3235"/>
      <c r="AC34" s="3235"/>
      <c r="AD34" s="3235"/>
      <c r="AE34" s="3235"/>
      <c r="AF34" s="3235"/>
      <c r="AG34" s="3235"/>
      <c r="AH34" s="3235"/>
      <c r="AI34" s="3235"/>
      <c r="AJ34" s="3235"/>
      <c r="AK34" s="3235"/>
      <c r="AL34" s="935"/>
      <c r="AM34" s="935"/>
      <c r="AN34" s="931"/>
    </row>
    <row r="35" spans="1:41" s="932" customFormat="1" ht="12.75" customHeight="1">
      <c r="A35" s="935"/>
      <c r="B35" s="3235"/>
      <c r="C35" s="3235"/>
      <c r="D35" s="3235"/>
      <c r="E35" s="3235"/>
      <c r="F35" s="3235"/>
      <c r="G35" s="3235"/>
      <c r="H35" s="3235"/>
      <c r="I35" s="3235"/>
      <c r="J35" s="3235"/>
      <c r="K35" s="3235"/>
      <c r="L35" s="3235"/>
      <c r="M35" s="3235"/>
      <c r="N35" s="3235"/>
      <c r="O35" s="3235"/>
      <c r="P35" s="3235"/>
      <c r="Q35" s="3235"/>
      <c r="R35" s="3235"/>
      <c r="S35" s="3235"/>
      <c r="T35" s="3235"/>
      <c r="U35" s="3235"/>
      <c r="V35" s="3235"/>
      <c r="W35" s="3235"/>
      <c r="X35" s="3235"/>
      <c r="Y35" s="3235"/>
      <c r="Z35" s="3235"/>
      <c r="AA35" s="3235"/>
      <c r="AB35" s="3235"/>
      <c r="AC35" s="3235"/>
      <c r="AD35" s="3235"/>
      <c r="AE35" s="3235"/>
      <c r="AF35" s="3235"/>
      <c r="AG35" s="3235"/>
      <c r="AH35" s="3235"/>
      <c r="AI35" s="3235"/>
      <c r="AJ35" s="3235"/>
      <c r="AK35" s="3235"/>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10" t="s">
        <v>627</v>
      </c>
      <c r="C37" s="3210"/>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10" t="s">
        <v>627</v>
      </c>
      <c r="C39" s="3210"/>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10" t="s">
        <v>627</v>
      </c>
      <c r="C41" s="3210"/>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10" t="s">
        <v>627</v>
      </c>
      <c r="C43" s="3210"/>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10" t="s">
        <v>627</v>
      </c>
      <c r="C45" s="3210"/>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10" t="s">
        <v>627</v>
      </c>
      <c r="C47" s="3210"/>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10" t="s">
        <v>627</v>
      </c>
      <c r="C49" s="3210"/>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185">
        <f>AO32</f>
        <v>0</v>
      </c>
      <c r="AL51" s="3186"/>
      <c r="AM51" s="3187"/>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1" t="s">
        <v>1598</v>
      </c>
      <c r="AF54" s="3201"/>
      <c r="AG54" s="3201"/>
      <c r="AH54" s="3201"/>
      <c r="AI54" s="3201"/>
      <c r="AJ54" s="3201"/>
      <c r="AK54" s="3201"/>
      <c r="AL54" s="935"/>
      <c r="AM54" s="935"/>
      <c r="AN54" s="931"/>
    </row>
    <row r="55" spans="1:50" s="932" customFormat="1" ht="12.75" customHeight="1">
      <c r="A55" s="933"/>
      <c r="B55" s="934" t="s">
        <v>2240</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10" t="s">
        <v>627</v>
      </c>
      <c r="C57" s="3210"/>
      <c r="D57" s="942" t="s">
        <v>1599</v>
      </c>
      <c r="E57" s="3229" t="s">
        <v>2252</v>
      </c>
      <c r="F57" s="3230"/>
      <c r="G57" s="3230"/>
      <c r="H57" s="3230"/>
      <c r="I57" s="3230"/>
      <c r="J57" s="3230"/>
      <c r="K57" s="3230"/>
      <c r="L57" s="3230"/>
      <c r="M57" s="3230"/>
      <c r="N57" s="3230"/>
      <c r="O57" s="3230"/>
      <c r="P57" s="3230"/>
      <c r="Q57" s="3230"/>
      <c r="R57" s="3230"/>
      <c r="S57" s="3230"/>
      <c r="T57" s="3230"/>
      <c r="U57" s="3230"/>
      <c r="V57" s="3230"/>
      <c r="W57" s="3230"/>
      <c r="X57" s="3230"/>
      <c r="Y57" s="3230"/>
      <c r="Z57" s="3230"/>
      <c r="AA57" s="3230"/>
      <c r="AB57" s="3230"/>
      <c r="AC57" s="3230"/>
      <c r="AD57" s="3230"/>
      <c r="AE57" s="3230"/>
      <c r="AF57" s="3230"/>
      <c r="AG57" s="3230"/>
      <c r="AH57" s="3230"/>
      <c r="AI57" s="3230"/>
      <c r="AJ57" s="3231"/>
      <c r="AK57" s="938"/>
      <c r="AL57" s="935"/>
      <c r="AM57" s="935"/>
      <c r="AN57" s="931"/>
      <c r="AO57" s="945">
        <f>IF($B57="yes",10,0)</f>
        <v>0</v>
      </c>
    </row>
    <row r="58" spans="1:50" s="932" customFormat="1" ht="12.75" customHeight="1">
      <c r="A58" s="933"/>
      <c r="B58" s="935"/>
      <c r="C58" s="935"/>
      <c r="D58" s="946"/>
      <c r="E58" s="3232"/>
      <c r="F58" s="3233"/>
      <c r="G58" s="3233"/>
      <c r="H58" s="3233"/>
      <c r="I58" s="3233"/>
      <c r="J58" s="3233"/>
      <c r="K58" s="3233"/>
      <c r="L58" s="3233"/>
      <c r="M58" s="3233"/>
      <c r="N58" s="3233"/>
      <c r="O58" s="3233"/>
      <c r="P58" s="3233"/>
      <c r="Q58" s="3233"/>
      <c r="R58" s="3233"/>
      <c r="S58" s="3233"/>
      <c r="T58" s="3233"/>
      <c r="U58" s="3233"/>
      <c r="V58" s="3233"/>
      <c r="W58" s="3233"/>
      <c r="X58" s="3233"/>
      <c r="Y58" s="3233"/>
      <c r="Z58" s="3233"/>
      <c r="AA58" s="3233"/>
      <c r="AB58" s="3233"/>
      <c r="AC58" s="3233"/>
      <c r="AD58" s="3233"/>
      <c r="AE58" s="3233"/>
      <c r="AF58" s="3233"/>
      <c r="AG58" s="3233"/>
      <c r="AH58" s="3233"/>
      <c r="AI58" s="3233"/>
      <c r="AJ58" s="3234"/>
      <c r="AK58" s="938"/>
      <c r="AL58" s="935"/>
      <c r="AM58" s="935"/>
      <c r="AN58" s="931"/>
      <c r="AO58" s="945">
        <f>IF($B62="yes",10,0)</f>
        <v>10</v>
      </c>
    </row>
    <row r="59" spans="1:50" s="932" customFormat="1" ht="12.75" customHeight="1">
      <c r="A59" s="933"/>
      <c r="B59" s="935"/>
      <c r="C59" s="935"/>
      <c r="D59" s="946"/>
      <c r="E59" s="3232"/>
      <c r="F59" s="3233"/>
      <c r="G59" s="3233"/>
      <c r="H59" s="3233"/>
      <c r="I59" s="3233"/>
      <c r="J59" s="3233"/>
      <c r="K59" s="3233"/>
      <c r="L59" s="3233"/>
      <c r="M59" s="3233"/>
      <c r="N59" s="3233"/>
      <c r="O59" s="3233"/>
      <c r="P59" s="3233"/>
      <c r="Q59" s="3233"/>
      <c r="R59" s="3233"/>
      <c r="S59" s="3233"/>
      <c r="T59" s="3233"/>
      <c r="U59" s="3233"/>
      <c r="V59" s="3233"/>
      <c r="W59" s="3233"/>
      <c r="X59" s="3233"/>
      <c r="Y59" s="3233"/>
      <c r="Z59" s="3233"/>
      <c r="AA59" s="3233"/>
      <c r="AB59" s="3233"/>
      <c r="AC59" s="3233"/>
      <c r="AD59" s="3233"/>
      <c r="AE59" s="3233"/>
      <c r="AF59" s="3233"/>
      <c r="AG59" s="3233"/>
      <c r="AH59" s="3233"/>
      <c r="AI59" s="3233"/>
      <c r="AJ59" s="3234"/>
      <c r="AK59" s="938"/>
      <c r="AL59" s="935"/>
      <c r="AM59" s="935"/>
      <c r="AN59" s="931"/>
      <c r="AO59" s="945">
        <f>IF($B69="yes",10,0)</f>
        <v>0</v>
      </c>
    </row>
    <row r="60" spans="1:50" s="932" customFormat="1" ht="12.75" customHeight="1">
      <c r="A60" s="933"/>
      <c r="B60" s="935"/>
      <c r="C60" s="935"/>
      <c r="D60" s="946"/>
      <c r="E60" s="3245"/>
      <c r="F60" s="3246"/>
      <c r="G60" s="3246"/>
      <c r="H60" s="3246"/>
      <c r="I60" s="3246"/>
      <c r="J60" s="3246"/>
      <c r="K60" s="3246"/>
      <c r="L60" s="3246"/>
      <c r="M60" s="3246"/>
      <c r="N60" s="3246"/>
      <c r="O60" s="3246"/>
      <c r="P60" s="3246"/>
      <c r="Q60" s="3246"/>
      <c r="R60" s="3246"/>
      <c r="S60" s="3246"/>
      <c r="T60" s="3246"/>
      <c r="U60" s="3246"/>
      <c r="V60" s="3246"/>
      <c r="W60" s="3246"/>
      <c r="X60" s="3246"/>
      <c r="Y60" s="3246"/>
      <c r="Z60" s="3246"/>
      <c r="AA60" s="3246"/>
      <c r="AB60" s="3246"/>
      <c r="AC60" s="3246"/>
      <c r="AD60" s="3246"/>
      <c r="AE60" s="3246"/>
      <c r="AF60" s="3246"/>
      <c r="AG60" s="3246"/>
      <c r="AH60" s="3246"/>
      <c r="AI60" s="3246"/>
      <c r="AJ60" s="3247"/>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10" t="s">
        <v>579</v>
      </c>
      <c r="C62" s="3210"/>
      <c r="D62" s="942" t="s">
        <v>1601</v>
      </c>
      <c r="E62" s="1693" t="s">
        <v>2236</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4" t="s">
        <v>627</v>
      </c>
      <c r="F63" s="3210"/>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8" t="s">
        <v>579</v>
      </c>
      <c r="F64" s="3209"/>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8" t="s">
        <v>627</v>
      </c>
      <c r="F65" s="3209"/>
      <c r="G65" s="971"/>
      <c r="H65" s="1692" t="s">
        <v>2251</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4" t="s">
        <v>579</v>
      </c>
      <c r="F67" s="3210"/>
      <c r="G67" s="1593"/>
      <c r="H67" s="1701" t="s">
        <v>2250</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10" t="s">
        <v>627</v>
      </c>
      <c r="C69" s="3210"/>
      <c r="D69" s="942" t="s">
        <v>1604</v>
      </c>
      <c r="E69" s="3136" t="s">
        <v>2253</v>
      </c>
      <c r="F69" s="3137"/>
      <c r="G69" s="3137"/>
      <c r="H69" s="3137"/>
      <c r="I69" s="3137"/>
      <c r="J69" s="3137"/>
      <c r="K69" s="3137"/>
      <c r="L69" s="3137"/>
      <c r="M69" s="3137"/>
      <c r="N69" s="3137"/>
      <c r="O69" s="3137"/>
      <c r="P69" s="3137"/>
      <c r="Q69" s="3137"/>
      <c r="R69" s="3137"/>
      <c r="S69" s="3137"/>
      <c r="T69" s="3137"/>
      <c r="U69" s="3137"/>
      <c r="V69" s="3137"/>
      <c r="W69" s="3137"/>
      <c r="X69" s="3137"/>
      <c r="Y69" s="3137"/>
      <c r="Z69" s="3137"/>
      <c r="AA69" s="3137"/>
      <c r="AB69" s="3137"/>
      <c r="AC69" s="3137"/>
      <c r="AD69" s="3137"/>
      <c r="AE69" s="3137"/>
      <c r="AF69" s="3137"/>
      <c r="AG69" s="3137"/>
      <c r="AH69" s="3137"/>
      <c r="AI69" s="3137"/>
      <c r="AJ69" s="3138"/>
      <c r="AK69" s="938"/>
      <c r="AL69" s="935"/>
      <c r="AM69" s="935"/>
      <c r="AN69" s="931"/>
    </row>
    <row r="70" spans="1:40" s="932" customFormat="1" ht="12.75" customHeight="1">
      <c r="A70" s="933"/>
      <c r="B70" s="935"/>
      <c r="C70" s="935"/>
      <c r="D70" s="945"/>
      <c r="E70" s="3211"/>
      <c r="F70" s="3212"/>
      <c r="G70" s="3212"/>
      <c r="H70" s="3212"/>
      <c r="I70" s="3212"/>
      <c r="J70" s="3212"/>
      <c r="K70" s="3212"/>
      <c r="L70" s="3212"/>
      <c r="M70" s="3212"/>
      <c r="N70" s="3212"/>
      <c r="O70" s="3212"/>
      <c r="P70" s="3212"/>
      <c r="Q70" s="3212"/>
      <c r="R70" s="3212"/>
      <c r="S70" s="3212"/>
      <c r="T70" s="3212"/>
      <c r="U70" s="3212"/>
      <c r="V70" s="3212"/>
      <c r="W70" s="3212"/>
      <c r="X70" s="3212"/>
      <c r="Y70" s="3212"/>
      <c r="Z70" s="3212"/>
      <c r="AA70" s="3212"/>
      <c r="AB70" s="3212"/>
      <c r="AC70" s="3212"/>
      <c r="AD70" s="3212"/>
      <c r="AE70" s="3212"/>
      <c r="AF70" s="3212"/>
      <c r="AG70" s="3212"/>
      <c r="AH70" s="3212"/>
      <c r="AI70" s="3212"/>
      <c r="AJ70" s="3213"/>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185">
        <f>IF(AK51&gt;0,0,AO60)</f>
        <v>10</v>
      </c>
      <c r="AL72" s="3186"/>
      <c r="AM72" s="3187"/>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1" t="s">
        <v>1576</v>
      </c>
      <c r="AF75" s="3201"/>
      <c r="AG75" s="3201"/>
      <c r="AH75" s="3201"/>
      <c r="AI75" s="3201"/>
      <c r="AJ75" s="3201"/>
      <c r="AK75" s="3201"/>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10" t="s">
        <v>627</v>
      </c>
      <c r="C78" s="3210"/>
      <c r="D78" s="942" t="s">
        <v>1599</v>
      </c>
      <c r="E78" s="3217" t="s">
        <v>1609</v>
      </c>
      <c r="F78" s="3218"/>
      <c r="G78" s="3218"/>
      <c r="H78" s="3218"/>
      <c r="I78" s="3218"/>
      <c r="J78" s="3218"/>
      <c r="K78" s="3218"/>
      <c r="L78" s="3218"/>
      <c r="M78" s="3218"/>
      <c r="N78" s="3218"/>
      <c r="O78" s="3218"/>
      <c r="P78" s="3218"/>
      <c r="Q78" s="3218"/>
      <c r="R78" s="3218"/>
      <c r="S78" s="3218"/>
      <c r="T78" s="3218"/>
      <c r="U78" s="3218"/>
      <c r="V78" s="3218"/>
      <c r="W78" s="3218"/>
      <c r="X78" s="3218"/>
      <c r="Y78" s="3218"/>
      <c r="Z78" s="3218"/>
      <c r="AA78" s="3218"/>
      <c r="AB78" s="3218"/>
      <c r="AC78" s="3218"/>
      <c r="AD78" s="3218"/>
      <c r="AE78" s="3218"/>
      <c r="AF78" s="3218"/>
      <c r="AG78" s="3218"/>
      <c r="AH78" s="3218"/>
      <c r="AI78" s="3218"/>
      <c r="AJ78" s="3219"/>
      <c r="AK78" s="938"/>
      <c r="AL78" s="935"/>
      <c r="AM78" s="935"/>
      <c r="AN78" s="931"/>
    </row>
    <row r="79" spans="1:40" s="932" customFormat="1" ht="12.75" customHeight="1">
      <c r="A79" s="933"/>
      <c r="B79" s="934"/>
      <c r="C79" s="934"/>
      <c r="D79" s="934"/>
      <c r="E79" s="3220"/>
      <c r="F79" s="3221"/>
      <c r="G79" s="3221"/>
      <c r="H79" s="3221"/>
      <c r="I79" s="3221"/>
      <c r="J79" s="3221"/>
      <c r="K79" s="3221"/>
      <c r="L79" s="3221"/>
      <c r="M79" s="3221"/>
      <c r="N79" s="3221"/>
      <c r="O79" s="3221"/>
      <c r="P79" s="3221"/>
      <c r="Q79" s="3221"/>
      <c r="R79" s="3221"/>
      <c r="S79" s="3221"/>
      <c r="T79" s="3221"/>
      <c r="U79" s="3221"/>
      <c r="V79" s="3221"/>
      <c r="W79" s="3221"/>
      <c r="X79" s="3221"/>
      <c r="Y79" s="3221"/>
      <c r="Z79" s="3221"/>
      <c r="AA79" s="3221"/>
      <c r="AB79" s="3221"/>
      <c r="AC79" s="3221"/>
      <c r="AD79" s="3221"/>
      <c r="AE79" s="3221"/>
      <c r="AF79" s="3221"/>
      <c r="AG79" s="3221"/>
      <c r="AH79" s="3221"/>
      <c r="AI79" s="3221"/>
      <c r="AJ79" s="3222"/>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8">
        <f>Application!AH753</f>
        <v>0.6</v>
      </c>
      <c r="F81" s="3199"/>
      <c r="G81" s="3199"/>
      <c r="H81" s="3199"/>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3">
        <f>0.6-ROUNDUP(E81,2)</f>
        <v>0</v>
      </c>
      <c r="F82" s="3224"/>
      <c r="G82" s="3224"/>
      <c r="H82" s="3224"/>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5">
        <f>IF(E82*200&gt;20,20,E82*200)</f>
        <v>0</v>
      </c>
      <c r="F83" s="3216"/>
      <c r="G83" s="3216"/>
      <c r="H83" s="3216"/>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10" t="s">
        <v>579</v>
      </c>
      <c r="C86" s="3210"/>
      <c r="D86" s="942" t="s">
        <v>1601</v>
      </c>
      <c r="E86" s="3217" t="s">
        <v>2237</v>
      </c>
      <c r="F86" s="3218"/>
      <c r="G86" s="3218"/>
      <c r="H86" s="3218"/>
      <c r="I86" s="3218"/>
      <c r="J86" s="3218"/>
      <c r="K86" s="3218"/>
      <c r="L86" s="3218"/>
      <c r="M86" s="3218"/>
      <c r="N86" s="3218"/>
      <c r="O86" s="3218"/>
      <c r="P86" s="3218"/>
      <c r="Q86" s="3218"/>
      <c r="R86" s="3218"/>
      <c r="S86" s="3218"/>
      <c r="T86" s="3218"/>
      <c r="U86" s="3218"/>
      <c r="V86" s="3218"/>
      <c r="W86" s="3218"/>
      <c r="X86" s="3218"/>
      <c r="Y86" s="3218"/>
      <c r="Z86" s="3218"/>
      <c r="AA86" s="3218"/>
      <c r="AB86" s="3218"/>
      <c r="AC86" s="3218"/>
      <c r="AD86" s="3218"/>
      <c r="AE86" s="3218"/>
      <c r="AF86" s="3218"/>
      <c r="AG86" s="3218"/>
      <c r="AH86" s="3218"/>
      <c r="AI86" s="3218"/>
      <c r="AJ86" s="3219"/>
      <c r="AK86" s="938"/>
      <c r="AL86" s="935"/>
      <c r="AM86" s="935"/>
      <c r="AN86" s="931"/>
    </row>
    <row r="87" spans="1:47" s="932" customFormat="1" ht="12.75" customHeight="1">
      <c r="A87" s="933"/>
      <c r="B87" s="934"/>
      <c r="C87" s="934"/>
      <c r="D87" s="934"/>
      <c r="E87" s="3220"/>
      <c r="F87" s="3221"/>
      <c r="G87" s="3221"/>
      <c r="H87" s="3221"/>
      <c r="I87" s="3221"/>
      <c r="J87" s="3221"/>
      <c r="K87" s="3221"/>
      <c r="L87" s="3221"/>
      <c r="M87" s="3221"/>
      <c r="N87" s="3221"/>
      <c r="O87" s="3221"/>
      <c r="P87" s="3221"/>
      <c r="Q87" s="3221"/>
      <c r="R87" s="3221"/>
      <c r="S87" s="3221"/>
      <c r="T87" s="3221"/>
      <c r="U87" s="3221"/>
      <c r="V87" s="3221"/>
      <c r="W87" s="3221"/>
      <c r="X87" s="3221"/>
      <c r="Y87" s="3221"/>
      <c r="Z87" s="3221"/>
      <c r="AA87" s="3221"/>
      <c r="AB87" s="3221"/>
      <c r="AC87" s="3221"/>
      <c r="AD87" s="3221"/>
      <c r="AE87" s="3221"/>
      <c r="AF87" s="3221"/>
      <c r="AG87" s="3221"/>
      <c r="AH87" s="3221"/>
      <c r="AI87" s="3221"/>
      <c r="AJ87" s="3222"/>
      <c r="AK87" s="938"/>
      <c r="AL87" s="935"/>
      <c r="AM87" s="935"/>
      <c r="AN87" s="931"/>
    </row>
    <row r="88" spans="1:47" s="932" customFormat="1" ht="12.75" customHeight="1">
      <c r="A88" s="933"/>
      <c r="B88" s="934"/>
      <c r="C88" s="934"/>
      <c r="D88" s="934"/>
      <c r="E88" s="3220"/>
      <c r="F88" s="3221"/>
      <c r="G88" s="3221"/>
      <c r="H88" s="3221"/>
      <c r="I88" s="3221"/>
      <c r="J88" s="3221"/>
      <c r="K88" s="3221"/>
      <c r="L88" s="3221"/>
      <c r="M88" s="3221"/>
      <c r="N88" s="3221"/>
      <c r="O88" s="3221"/>
      <c r="P88" s="3221"/>
      <c r="Q88" s="3221"/>
      <c r="R88" s="3221"/>
      <c r="S88" s="3221"/>
      <c r="T88" s="3221"/>
      <c r="U88" s="3221"/>
      <c r="V88" s="3221"/>
      <c r="W88" s="3221"/>
      <c r="X88" s="3221"/>
      <c r="Y88" s="3221"/>
      <c r="Z88" s="3221"/>
      <c r="AA88" s="3221"/>
      <c r="AB88" s="3221"/>
      <c r="AC88" s="3221"/>
      <c r="AD88" s="3221"/>
      <c r="AE88" s="3221"/>
      <c r="AF88" s="3221"/>
      <c r="AG88" s="3221"/>
      <c r="AH88" s="3221"/>
      <c r="AI88" s="3221"/>
      <c r="AJ88" s="3222"/>
      <c r="AK88" s="938"/>
      <c r="AL88" s="935"/>
      <c r="AM88" s="935"/>
      <c r="AN88" s="931"/>
    </row>
    <row r="89" spans="1:47" s="932" customFormat="1" ht="12.75" customHeight="1">
      <c r="A89" s="933"/>
      <c r="B89" s="934"/>
      <c r="C89" s="934"/>
      <c r="D89" s="934"/>
      <c r="E89" s="3220"/>
      <c r="F89" s="3221"/>
      <c r="G89" s="3221"/>
      <c r="H89" s="3221"/>
      <c r="I89" s="3221"/>
      <c r="J89" s="3221"/>
      <c r="K89" s="3221"/>
      <c r="L89" s="3221"/>
      <c r="M89" s="3221"/>
      <c r="N89" s="3221"/>
      <c r="O89" s="3221"/>
      <c r="P89" s="3221"/>
      <c r="Q89" s="3221"/>
      <c r="R89" s="3221"/>
      <c r="S89" s="3221"/>
      <c r="T89" s="3221"/>
      <c r="U89" s="3221"/>
      <c r="V89" s="3221"/>
      <c r="W89" s="3221"/>
      <c r="X89" s="3221"/>
      <c r="Y89" s="3221"/>
      <c r="Z89" s="3221"/>
      <c r="AA89" s="3221"/>
      <c r="AB89" s="3221"/>
      <c r="AC89" s="3221"/>
      <c r="AD89" s="3221"/>
      <c r="AE89" s="3221"/>
      <c r="AF89" s="3221"/>
      <c r="AG89" s="3221"/>
      <c r="AH89" s="3221"/>
      <c r="AI89" s="3221"/>
      <c r="AJ89" s="3222"/>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8">
        <f>Application!AH753</f>
        <v>0.6</v>
      </c>
      <c r="F91" s="3199"/>
      <c r="G91" s="3199"/>
      <c r="H91" s="3199"/>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8">
        <f ca="1">SUMIF(Application!AH728:AL752,0.2,Application!G728:J752)/Application!G753+SUMIF(Application!AH728:AL752,0.25,Application!G728:J752)/Application!G753+SUMIF(Application!AH728:AL752,0.3,Application!G728:J752)/Application!G753</f>
        <v>0.10526315789473684</v>
      </c>
      <c r="F92" s="3199"/>
      <c r="G92" s="3199"/>
      <c r="H92" s="3199"/>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8">
        <f ca="1">SUMIF(Application!AH728:AL752,0.35,Application!G728:J752)/Application!G753+SUMIF(Application!AH728:AL752,0.4,Application!G728:J752)/Application!G753+SUMIF(Application!AH728:AL752,0.45,Application!G728:J752)/Application!G753+SUMIF(Application!AH728:AL752,0.5,Application!G728:J752)/Application!G753</f>
        <v>0.10526315789473684</v>
      </c>
      <c r="F93" s="3199"/>
      <c r="G93" s="3199"/>
      <c r="H93" s="3199"/>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2">
        <f ca="1">IF(AND(E91&lt;=0.6,E92&gt;=0.1,OR(E93&gt;=0.1,E92=1)),20,0)</f>
        <v>20</v>
      </c>
      <c r="F94" s="3203"/>
      <c r="G94" s="3203"/>
      <c r="H94" s="3203"/>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185">
        <f ca="1">MAX(AP83,AP94)</f>
        <v>20</v>
      </c>
      <c r="AL97" s="3186"/>
      <c r="AM97" s="3187"/>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1" t="s">
        <v>1598</v>
      </c>
      <c r="AF100" s="3201"/>
      <c r="AG100" s="3201"/>
      <c r="AH100" s="3201"/>
      <c r="AI100" s="3201"/>
      <c r="AJ100" s="3201"/>
      <c r="AK100" s="3201"/>
      <c r="AL100" s="935"/>
      <c r="AM100" s="935"/>
      <c r="AN100" s="931"/>
      <c r="AO100" s="932" t="str">
        <f>Application!B728</f>
        <v>2 Bedrooms</v>
      </c>
      <c r="AQ100" s="932">
        <f>Application!O728</f>
        <v>1676</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1164</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653</v>
      </c>
    </row>
    <row r="103" spans="1:49" s="932" customFormat="1" ht="12.75" customHeight="1">
      <c r="A103" s="935"/>
      <c r="B103" s="3210" t="s">
        <v>579</v>
      </c>
      <c r="C103" s="3210"/>
      <c r="D103" s="942" t="s">
        <v>1599</v>
      </c>
      <c r="E103" s="3217" t="s">
        <v>2449</v>
      </c>
      <c r="F103" s="3218"/>
      <c r="G103" s="3218"/>
      <c r="H103" s="3218"/>
      <c r="I103" s="3218"/>
      <c r="J103" s="3218"/>
      <c r="K103" s="3218"/>
      <c r="L103" s="3218"/>
      <c r="M103" s="3218"/>
      <c r="N103" s="3218"/>
      <c r="O103" s="3218"/>
      <c r="P103" s="3218"/>
      <c r="Q103" s="3218"/>
      <c r="R103" s="3218"/>
      <c r="S103" s="3218"/>
      <c r="T103" s="3218"/>
      <c r="U103" s="3218"/>
      <c r="V103" s="3218"/>
      <c r="W103" s="3218"/>
      <c r="X103" s="3218"/>
      <c r="Y103" s="3218"/>
      <c r="Z103" s="3218"/>
      <c r="AA103" s="3218"/>
      <c r="AB103" s="3218"/>
      <c r="AC103" s="3218"/>
      <c r="AD103" s="3218"/>
      <c r="AE103" s="3218"/>
      <c r="AF103" s="3218"/>
      <c r="AG103" s="3218"/>
      <c r="AH103" s="3218"/>
      <c r="AI103" s="3218"/>
      <c r="AJ103" s="3219"/>
      <c r="AK103" s="935"/>
      <c r="AL103" s="935"/>
      <c r="AM103" s="935"/>
      <c r="AN103" s="931"/>
      <c r="AO103" s="932" t="str">
        <f>Application!B731</f>
        <v>3 Bedrooms</v>
      </c>
      <c r="AQ103" s="932">
        <f>Application!O731</f>
        <v>1929</v>
      </c>
      <c r="AU103" s="932" t="s">
        <v>2426</v>
      </c>
      <c r="AV103" s="1783" t="s">
        <v>2427</v>
      </c>
      <c r="AW103" s="932" t="s">
        <v>2428</v>
      </c>
    </row>
    <row r="104" spans="1:49" s="932" customFormat="1" ht="12.75" customHeight="1">
      <c r="A104" s="935"/>
      <c r="B104" s="934"/>
      <c r="C104" s="934"/>
      <c r="D104" s="934"/>
      <c r="E104" s="3220"/>
      <c r="F104" s="3221"/>
      <c r="G104" s="3221"/>
      <c r="H104" s="3221"/>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21"/>
      <c r="AD104" s="3221"/>
      <c r="AE104" s="3221"/>
      <c r="AF104" s="3221"/>
      <c r="AG104" s="3221"/>
      <c r="AH104" s="3221"/>
      <c r="AI104" s="3221"/>
      <c r="AJ104" s="3222"/>
      <c r="AK104" s="935"/>
      <c r="AL104" s="935"/>
      <c r="AM104" s="935"/>
      <c r="AN104" s="931"/>
      <c r="AO104" s="932" t="str">
        <f>Application!B732</f>
        <v>3 Bedrooms</v>
      </c>
      <c r="AQ104" s="932">
        <f>Application!O732</f>
        <v>1634</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20"/>
      <c r="F105" s="3221"/>
      <c r="G105" s="3221"/>
      <c r="H105" s="3221"/>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21"/>
      <c r="AD105" s="3221"/>
      <c r="AE105" s="3221"/>
      <c r="AF105" s="3221"/>
      <c r="AG105" s="3221"/>
      <c r="AH105" s="3221"/>
      <c r="AI105" s="3221"/>
      <c r="AJ105" s="3222"/>
      <c r="AK105" s="935"/>
      <c r="AL105" s="935"/>
      <c r="AM105" s="935"/>
      <c r="AN105" s="931"/>
      <c r="AO105" s="932" t="str">
        <f>Application!B733</f>
        <v>3 Bedrooms</v>
      </c>
      <c r="AQ105" s="932">
        <f>Application!O733</f>
        <v>1338</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3220"/>
      <c r="F106" s="3221"/>
      <c r="G106" s="3221"/>
      <c r="H106" s="3221"/>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21"/>
      <c r="AD106" s="3221"/>
      <c r="AE106" s="3221"/>
      <c r="AF106" s="3221"/>
      <c r="AG106" s="3221"/>
      <c r="AH106" s="3221"/>
      <c r="AI106" s="3221"/>
      <c r="AJ106" s="3222"/>
      <c r="AK106" s="935"/>
      <c r="AL106" s="935"/>
      <c r="AM106" s="935"/>
      <c r="AN106" s="931"/>
      <c r="AO106" s="932" t="str">
        <f>Application!B734</f>
        <v>3 Bedrooms</v>
      </c>
      <c r="AQ106" s="932">
        <f>Application!O734</f>
        <v>748</v>
      </c>
      <c r="AU106" s="1786" t="str">
        <f>O112</f>
        <v>2-bedroom</v>
      </c>
      <c r="AV106" s="932">
        <f t="array" ref="AV106">SUM(IF(Application!B728:F752="2 Bedrooms",Application!G728:J752))</f>
        <v>6</v>
      </c>
      <c r="AW106" s="1821">
        <f>AV106/AV110</f>
        <v>4.5112781954887216E-2</v>
      </c>
    </row>
    <row r="107" spans="1:49" s="932" customFormat="1" ht="12.75" customHeight="1">
      <c r="A107" s="935"/>
      <c r="B107" s="934"/>
      <c r="C107" s="934"/>
      <c r="D107" s="934"/>
      <c r="E107" s="3220"/>
      <c r="F107" s="3221"/>
      <c r="G107" s="3221"/>
      <c r="H107" s="3221"/>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21"/>
      <c r="AD107" s="3221"/>
      <c r="AE107" s="3221"/>
      <c r="AF107" s="3221"/>
      <c r="AG107" s="3221"/>
      <c r="AH107" s="3221"/>
      <c r="AI107" s="3221"/>
      <c r="AJ107" s="3222"/>
      <c r="AK107" s="935"/>
      <c r="AL107" s="935"/>
      <c r="AM107" s="935"/>
      <c r="AN107" s="931"/>
      <c r="AO107" s="932">
        <f>Application!B735</f>
        <v>0</v>
      </c>
      <c r="AQ107" s="932">
        <f>Application!O735</f>
        <v>0</v>
      </c>
      <c r="AU107" s="1786" t="str">
        <f>T112</f>
        <v>3-bedroom</v>
      </c>
      <c r="AV107" s="932">
        <f t="array" ref="AV107">SUM(IF(Application!B728:F752="3 Bedrooms",Application!G728:J752))</f>
        <v>127</v>
      </c>
      <c r="AW107" s="1821">
        <f>AV107/AV110</f>
        <v>0.95488721804511278</v>
      </c>
    </row>
    <row r="108" spans="1:49" s="932" customFormat="1" ht="12.75" customHeight="1">
      <c r="A108" s="935"/>
      <c r="B108" s="934"/>
      <c r="C108" s="934"/>
      <c r="D108" s="934"/>
      <c r="E108" s="3220"/>
      <c r="F108" s="3221"/>
      <c r="G108" s="3221"/>
      <c r="H108" s="3221"/>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21"/>
      <c r="AD108" s="3221"/>
      <c r="AE108" s="3221"/>
      <c r="AF108" s="3221"/>
      <c r="AG108" s="3221"/>
      <c r="AH108" s="3221"/>
      <c r="AI108" s="3221"/>
      <c r="AJ108" s="3222"/>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20"/>
      <c r="F109" s="3221"/>
      <c r="G109" s="3221"/>
      <c r="H109" s="3221"/>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21"/>
      <c r="AD109" s="3221"/>
      <c r="AE109" s="3221"/>
      <c r="AF109" s="3221"/>
      <c r="AG109" s="3221"/>
      <c r="AH109" s="3221"/>
      <c r="AI109" s="3221"/>
      <c r="AJ109" s="3222"/>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20"/>
      <c r="F110" s="3221"/>
      <c r="G110" s="3221"/>
      <c r="H110" s="3221"/>
      <c r="I110" s="3221"/>
      <c r="J110" s="3221"/>
      <c r="K110" s="3221"/>
      <c r="L110" s="3221"/>
      <c r="M110" s="3221"/>
      <c r="N110" s="3221"/>
      <c r="O110" s="3221"/>
      <c r="P110" s="3221"/>
      <c r="Q110" s="3221"/>
      <c r="R110" s="3221"/>
      <c r="S110" s="3221"/>
      <c r="T110" s="3221"/>
      <c r="U110" s="3221"/>
      <c r="V110" s="3221"/>
      <c r="W110" s="3221"/>
      <c r="X110" s="3221"/>
      <c r="Y110" s="3221"/>
      <c r="Z110" s="3221"/>
      <c r="AA110" s="3221"/>
      <c r="AB110" s="3221"/>
      <c r="AC110" s="3221"/>
      <c r="AD110" s="3221"/>
      <c r="AE110" s="3221"/>
      <c r="AF110" s="3221"/>
      <c r="AG110" s="3221"/>
      <c r="AH110" s="3221"/>
      <c r="AI110" s="3221"/>
      <c r="AJ110" s="3222"/>
      <c r="AK110" s="935"/>
      <c r="AL110" s="935"/>
      <c r="AM110" s="935"/>
      <c r="AN110" s="931"/>
      <c r="AO110" s="932">
        <f>Application!B738</f>
        <v>0</v>
      </c>
      <c r="AQ110" s="932">
        <f>Application!O738</f>
        <v>0</v>
      </c>
      <c r="AV110" s="932">
        <f>SUM(AV104:AV109)</f>
        <v>133</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8" t="s">
        <v>1900</v>
      </c>
      <c r="F112" s="3199"/>
      <c r="G112" s="3199"/>
      <c r="H112" s="3199"/>
      <c r="I112" s="1475"/>
      <c r="J112" s="3199" t="s">
        <v>1994</v>
      </c>
      <c r="K112" s="3199"/>
      <c r="L112" s="3199"/>
      <c r="M112" s="3199"/>
      <c r="N112" s="1475"/>
      <c r="O112" s="3199" t="s">
        <v>1995</v>
      </c>
      <c r="P112" s="3199"/>
      <c r="Q112" s="3199"/>
      <c r="R112" s="3199"/>
      <c r="S112" s="1475"/>
      <c r="T112" s="3199" t="s">
        <v>1618</v>
      </c>
      <c r="U112" s="3199"/>
      <c r="V112" s="3199"/>
      <c r="W112" s="3199"/>
      <c r="X112" s="1475"/>
      <c r="Y112" s="3199" t="s">
        <v>1996</v>
      </c>
      <c r="Z112" s="3199"/>
      <c r="AA112" s="3199"/>
      <c r="AB112" s="3199"/>
      <c r="AC112" s="1475"/>
      <c r="AD112" s="3199" t="s">
        <v>1997</v>
      </c>
      <c r="AE112" s="3199"/>
      <c r="AF112" s="3199"/>
      <c r="AG112" s="3199"/>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4">
        <v>0</v>
      </c>
      <c r="F115" s="3205"/>
      <c r="G115" s="3205"/>
      <c r="H115" s="3205"/>
      <c r="I115" s="1477"/>
      <c r="J115" s="3205">
        <v>0</v>
      </c>
      <c r="K115" s="3205"/>
      <c r="L115" s="3205"/>
      <c r="M115" s="3205"/>
      <c r="N115" s="1477"/>
      <c r="O115" s="3205">
        <v>2228</v>
      </c>
      <c r="P115" s="3205"/>
      <c r="Q115" s="3205"/>
      <c r="R115" s="3205"/>
      <c r="S115" s="1477"/>
      <c r="T115" s="3205">
        <v>2645</v>
      </c>
      <c r="U115" s="3205"/>
      <c r="V115" s="3205"/>
      <c r="W115" s="3205"/>
      <c r="X115" s="1477"/>
      <c r="Y115" s="3205">
        <v>0</v>
      </c>
      <c r="Z115" s="3205"/>
      <c r="AA115" s="3205"/>
      <c r="AB115" s="3205"/>
      <c r="AC115" s="1477"/>
      <c r="AD115" s="3205">
        <v>0</v>
      </c>
      <c r="AE115" s="3205"/>
      <c r="AF115" s="3205"/>
      <c r="AG115" s="3205"/>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2430</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6">
        <f>Application!DX663</f>
        <v>0</v>
      </c>
      <c r="F118" s="3207"/>
      <c r="G118" s="3207"/>
      <c r="H118" s="3207"/>
      <c r="I118" s="1477"/>
      <c r="J118" s="3207">
        <f>Application!EC663</f>
        <v>0</v>
      </c>
      <c r="K118" s="3207"/>
      <c r="L118" s="3207"/>
      <c r="M118" s="3207"/>
      <c r="N118" s="1477"/>
      <c r="O118" s="3207">
        <f>Application!EH663</f>
        <v>1420.1666666666665</v>
      </c>
      <c r="P118" s="3207"/>
      <c r="Q118" s="3207"/>
      <c r="R118" s="3207"/>
      <c r="S118" s="1481"/>
      <c r="T118" s="3207">
        <f>Application!EM663</f>
        <v>1633.7952755905512</v>
      </c>
      <c r="U118" s="3207"/>
      <c r="V118" s="3207"/>
      <c r="W118" s="3207"/>
      <c r="X118" s="1481"/>
      <c r="Y118" s="3207">
        <f>Application!ER663</f>
        <v>0</v>
      </c>
      <c r="Z118" s="3207"/>
      <c r="AA118" s="3207"/>
      <c r="AB118" s="3207"/>
      <c r="AC118" s="1481"/>
      <c r="AD118" s="3207">
        <f>Application!EW663</f>
        <v>0</v>
      </c>
      <c r="AE118" s="3207"/>
      <c r="AF118" s="3207"/>
      <c r="AG118" s="320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2431</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6" t="e">
        <f>(E115-E118)/E115</f>
        <v>#DIV/0!</v>
      </c>
      <c r="F121" s="2987"/>
      <c r="G121" s="2987"/>
      <c r="H121" s="2988"/>
      <c r="I121" s="973"/>
      <c r="J121" s="2986" t="e">
        <f>(J115-J118)/J115</f>
        <v>#DIV/0!</v>
      </c>
      <c r="K121" s="2987"/>
      <c r="L121" s="2987"/>
      <c r="M121" s="2988"/>
      <c r="N121" s="973"/>
      <c r="O121" s="2986">
        <f>(O115-O118)/O115</f>
        <v>0.36258228605625381</v>
      </c>
      <c r="P121" s="2987"/>
      <c r="Q121" s="2987"/>
      <c r="R121" s="2988"/>
      <c r="S121" s="973"/>
      <c r="T121" s="2986">
        <f>(T115-T118)/T115</f>
        <v>0.38230802435139838</v>
      </c>
      <c r="U121" s="2987"/>
      <c r="V121" s="2987"/>
      <c r="W121" s="2988"/>
      <c r="X121" s="973"/>
      <c r="Y121" s="2986" t="e">
        <f>(Y115-Y118)/Y115</f>
        <v>#DIV/0!</v>
      </c>
      <c r="Z121" s="2987"/>
      <c r="AA121" s="2987"/>
      <c r="AB121" s="2988"/>
      <c r="AC121" s="973"/>
      <c r="AD121" s="2986" t="e">
        <f>(AD115-AD118)/AD115</f>
        <v>#DIV/0!</v>
      </c>
      <c r="AE121" s="2987"/>
      <c r="AF121" s="2987"/>
      <c r="AG121" s="2988"/>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2432</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8" t="e">
        <f>IF(((E121-0.1)*AW104)&gt;0,((E121-0.1)*AW104),0)</f>
        <v>#DIV/0!</v>
      </c>
      <c r="F124" s="3249"/>
      <c r="G124" s="3249"/>
      <c r="H124" s="3250"/>
      <c r="I124" s="973"/>
      <c r="J124" s="3248" t="e">
        <f>IF(((J121-0.1)*AW105)&gt;0,((J121-0.1)*AW105),0)</f>
        <v>#DIV/0!</v>
      </c>
      <c r="K124" s="3249"/>
      <c r="L124" s="3249"/>
      <c r="M124" s="3250"/>
      <c r="N124" s="973"/>
      <c r="O124" s="3248">
        <f>IF(((O121-0.1)*AW106)&gt;0,((O121-0.1)*AW106),0)</f>
        <v>1.1845817416071599E-2</v>
      </c>
      <c r="P124" s="3249"/>
      <c r="Q124" s="3249"/>
      <c r="R124" s="3250"/>
      <c r="S124" s="973"/>
      <c r="T124" s="3248">
        <f>IF(((T121-0.1)*AW107)&gt;0,((T121-0.1)*AW107),0)</f>
        <v>0.2695723240047187</v>
      </c>
      <c r="U124" s="3249"/>
      <c r="V124" s="3249"/>
      <c r="W124" s="3250"/>
      <c r="X124" s="973"/>
      <c r="Y124" s="3248" t="e">
        <f>IF(((Y121-0.1)*AW108)&gt;0,((Y121-0.1)*AW108),0)</f>
        <v>#DIV/0!</v>
      </c>
      <c r="Z124" s="3249"/>
      <c r="AA124" s="3249"/>
      <c r="AB124" s="3250"/>
      <c r="AC124" s="973"/>
      <c r="AD124" s="3248" t="e">
        <f>IF(((AD121-0.1)*AW109)&gt;0,((AD121-0.1)*AW109),0)</f>
        <v>#DIV/0!</v>
      </c>
      <c r="AE124" s="3249"/>
      <c r="AF124" s="3249"/>
      <c r="AG124" s="325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6">
        <f>ROUNDDOWN(SUMIF(E124:AG124,"&gt;0"),2)</f>
        <v>0.28000000000000003</v>
      </c>
      <c r="F126" s="2987"/>
      <c r="G126" s="2987"/>
      <c r="H126" s="2988"/>
      <c r="I126" s="1475"/>
      <c r="J126" s="1482" t="s">
        <v>2433</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5">
        <f>IF((E126*100)&gt;10,10,E126*100)</f>
        <v>10</v>
      </c>
      <c r="F127" s="3186"/>
      <c r="G127" s="3186"/>
      <c r="H127" s="3187"/>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185">
        <f>E127</f>
        <v>10</v>
      </c>
      <c r="AL131" s="3186"/>
      <c r="AM131" s="3187"/>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201" t="s">
        <v>1598</v>
      </c>
      <c r="AF134" s="3201"/>
      <c r="AG134" s="3201"/>
      <c r="AH134" s="3201"/>
      <c r="AI134" s="3201"/>
      <c r="AJ134" s="3201"/>
      <c r="AK134" s="3201"/>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6" t="s">
        <v>1622</v>
      </c>
      <c r="AG136" s="3126"/>
      <c r="AH136" s="3126"/>
      <c r="AI136" s="3126"/>
      <c r="AJ136" s="3126"/>
      <c r="AK136" s="3126"/>
      <c r="AL136" s="3126"/>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90" t="s">
        <v>2545</v>
      </c>
      <c r="C138" s="3190"/>
      <c r="D138" s="3190"/>
      <c r="E138" s="3190"/>
      <c r="F138" s="3190"/>
      <c r="G138" s="3190"/>
      <c r="H138" s="3190"/>
      <c r="I138" s="3190"/>
      <c r="J138" s="3190"/>
      <c r="K138" s="3190"/>
      <c r="L138" s="3190"/>
      <c r="M138" s="3190"/>
      <c r="N138" s="3190"/>
      <c r="O138" s="3190"/>
      <c r="P138" s="3190"/>
      <c r="Q138" s="3190"/>
      <c r="R138" s="3190"/>
      <c r="S138" s="3190"/>
      <c r="T138" s="3190"/>
      <c r="U138" s="3190"/>
      <c r="V138" s="3190"/>
      <c r="W138" s="3190"/>
      <c r="X138" s="3190"/>
      <c r="Y138" s="3190"/>
      <c r="Z138" s="3190"/>
      <c r="AA138" s="3190"/>
      <c r="AB138" s="3190"/>
      <c r="AC138" s="319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191" t="s">
        <v>1625</v>
      </c>
      <c r="C141" s="3191"/>
      <c r="D141" s="3191"/>
      <c r="E141" s="3191"/>
      <c r="F141" s="3191"/>
      <c r="G141" s="3191"/>
      <c r="H141" s="3191"/>
      <c r="I141" s="3191"/>
      <c r="J141" s="3191"/>
      <c r="K141" s="3191"/>
      <c r="L141" s="3191"/>
      <c r="M141" s="3191"/>
      <c r="N141" s="3191"/>
      <c r="O141" s="3191"/>
      <c r="P141" s="3191"/>
      <c r="Q141" s="3191"/>
      <c r="R141" s="3191"/>
      <c r="S141" s="3191"/>
      <c r="T141" s="3191"/>
      <c r="U141" s="3191"/>
      <c r="V141" s="3191"/>
      <c r="W141" s="3191"/>
      <c r="X141" s="3191"/>
      <c r="Y141" s="3191"/>
      <c r="Z141" s="3191"/>
      <c r="AA141" s="3191"/>
      <c r="AB141" s="3191"/>
      <c r="AC141" s="3191"/>
      <c r="AD141" s="3191"/>
      <c r="AE141" s="3191"/>
      <c r="AF141" s="3191"/>
      <c r="AG141" s="3191"/>
      <c r="AH141" s="3191"/>
      <c r="AI141" s="3191"/>
      <c r="AM141" s="988"/>
      <c r="AN141" s="928"/>
      <c r="AO141" s="996" t="s">
        <v>1625</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131" t="s">
        <v>627</v>
      </c>
      <c r="AC143" s="313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191" t="s">
        <v>1627</v>
      </c>
      <c r="C146" s="3191"/>
      <c r="D146" s="3191"/>
      <c r="E146" s="3191"/>
      <c r="F146" s="3191"/>
      <c r="G146" s="3191"/>
      <c r="H146" s="3191"/>
      <c r="I146" s="3191"/>
      <c r="J146" s="3191"/>
      <c r="K146" s="3191"/>
      <c r="L146" s="3191"/>
      <c r="M146" s="3191"/>
      <c r="N146" s="3191"/>
      <c r="O146" s="3191"/>
      <c r="P146" s="3191"/>
      <c r="Q146" s="3191"/>
      <c r="R146" s="3191"/>
      <c r="S146" s="3191"/>
      <c r="T146" s="3191"/>
      <c r="U146" s="3191"/>
      <c r="V146" s="3191"/>
      <c r="W146" s="3191"/>
      <c r="X146" s="3191"/>
      <c r="Y146" s="3191"/>
      <c r="Z146" s="3191"/>
      <c r="AA146" s="3191"/>
      <c r="AB146" s="3191"/>
      <c r="AC146" s="3191"/>
      <c r="AD146" s="3191"/>
      <c r="AE146" s="3191"/>
      <c r="AF146" s="3191"/>
      <c r="AG146" s="3191"/>
      <c r="AH146" s="3191"/>
      <c r="AI146" s="3191"/>
      <c r="AJ146" s="3191"/>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200">
        <f>IF($AB$143="N/A",VLOOKUP($B$141,$AO$139:$AP$142,2,FALSE),VLOOKUP($B$146,$AO$144:$AP$147,2,FALSE))</f>
        <v>7</v>
      </c>
      <c r="AK149" s="3200"/>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6" t="s">
        <v>1636</v>
      </c>
      <c r="AG151" s="3126"/>
      <c r="AH151" s="3126"/>
      <c r="AI151" s="3126"/>
      <c r="AJ151" s="3126"/>
      <c r="AK151" s="3126"/>
      <c r="AL151" s="3126"/>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1" t="s">
        <v>1634</v>
      </c>
      <c r="D153" s="3191"/>
      <c r="E153" s="3191"/>
      <c r="F153" s="3191"/>
      <c r="G153" s="3191"/>
      <c r="H153" s="3191"/>
      <c r="I153" s="3191"/>
      <c r="J153" s="3191"/>
      <c r="K153" s="3191"/>
      <c r="L153" s="3191"/>
      <c r="M153" s="3191"/>
      <c r="N153" s="3191"/>
      <c r="O153" s="3191"/>
      <c r="P153" s="3191"/>
      <c r="Q153" s="3191"/>
      <c r="R153" s="3191"/>
      <c r="S153" s="3191"/>
      <c r="T153" s="3191"/>
      <c r="U153" s="3191"/>
      <c r="V153" s="3191"/>
      <c r="W153" s="3191"/>
      <c r="X153" s="3191"/>
      <c r="Y153" s="3191"/>
      <c r="Z153" s="3191"/>
      <c r="AA153" s="3191"/>
      <c r="AB153" s="3191"/>
      <c r="AC153" s="3191"/>
      <c r="AD153" s="3191"/>
      <c r="AE153" s="3191"/>
      <c r="AF153" s="3191"/>
      <c r="AG153" s="3191"/>
      <c r="AH153" s="3191"/>
      <c r="AI153" s="3191"/>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1" t="s">
        <v>627</v>
      </c>
      <c r="AD155" s="3131"/>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191" t="s">
        <v>1627</v>
      </c>
      <c r="D157" s="3191"/>
      <c r="E157" s="3191"/>
      <c r="F157" s="3191"/>
      <c r="G157" s="3191"/>
      <c r="H157" s="3191"/>
      <c r="I157" s="3191"/>
      <c r="J157" s="3191"/>
      <c r="K157" s="3191"/>
      <c r="L157" s="3191"/>
      <c r="M157" s="3191"/>
      <c r="N157" s="3191"/>
      <c r="O157" s="3191"/>
      <c r="P157" s="3191"/>
      <c r="Q157" s="3191"/>
      <c r="R157" s="3191"/>
      <c r="S157" s="3191"/>
      <c r="T157" s="3191"/>
      <c r="U157" s="3191"/>
      <c r="V157" s="3191"/>
      <c r="W157" s="3191"/>
      <c r="X157" s="3191"/>
      <c r="Y157" s="3191"/>
      <c r="Z157" s="3191"/>
      <c r="AA157" s="3191"/>
      <c r="AB157" s="3191"/>
      <c r="AC157" s="3191"/>
      <c r="AD157" s="319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190" t="s">
        <v>2503</v>
      </c>
      <c r="D161" s="3190"/>
      <c r="E161" s="3190"/>
      <c r="F161" s="3190"/>
      <c r="G161" s="3190"/>
      <c r="H161" s="3190"/>
      <c r="I161" s="3190"/>
      <c r="J161" s="3190"/>
      <c r="K161" s="3190"/>
      <c r="L161" s="3190"/>
      <c r="M161" s="3190"/>
      <c r="N161" s="3190"/>
      <c r="O161" s="3190"/>
      <c r="P161" s="3190"/>
      <c r="Q161" s="3190"/>
      <c r="R161" s="3190"/>
      <c r="S161" s="3190"/>
      <c r="T161" s="3190"/>
      <c r="U161" s="3190"/>
      <c r="V161" s="3190"/>
      <c r="W161" s="3190"/>
      <c r="X161" s="3190"/>
      <c r="Y161" s="3190"/>
      <c r="Z161" s="3190"/>
      <c r="AA161" s="3190"/>
      <c r="AB161" s="3190"/>
      <c r="AC161" s="3190"/>
      <c r="AD161" s="3190"/>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33">
        <f>IF($AC$155="N/A",VLOOKUP($C$153,$AO$153:$AP$156,2,FALSE),VLOOKUP($C$157,$AO$160:$AP$162,2,FALSE))</f>
        <v>3</v>
      </c>
      <c r="AK163" s="303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185">
        <f>$AJ$149+$AJ$163</f>
        <v>10</v>
      </c>
      <c r="AL166" s="3186"/>
      <c r="AM166" s="3187"/>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2239</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0" t="s">
        <v>1598</v>
      </c>
      <c r="AF169" s="3090"/>
      <c r="AG169" s="3090"/>
      <c r="AH169" s="3090"/>
      <c r="AI169" s="3090"/>
      <c r="AJ169" s="3090"/>
      <c r="AK169" s="3090"/>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188" t="s">
        <v>1158</v>
      </c>
      <c r="C171" s="3188"/>
      <c r="D171" s="3188"/>
      <c r="E171" s="3188"/>
      <c r="F171" s="3188"/>
      <c r="G171" s="3188"/>
      <c r="H171" s="3188"/>
      <c r="I171" s="3188"/>
      <c r="J171" s="3188"/>
      <c r="K171" s="3188"/>
      <c r="L171" s="3188"/>
      <c r="M171" s="3188"/>
      <c r="N171" s="3188"/>
      <c r="O171" s="3188"/>
      <c r="P171" s="3188"/>
      <c r="Q171" s="3188"/>
      <c r="R171" s="3188"/>
      <c r="S171" s="3188"/>
      <c r="T171" s="3188"/>
      <c r="U171" s="3188"/>
      <c r="V171" s="3188"/>
      <c r="W171" s="3188"/>
      <c r="X171" s="3188"/>
      <c r="Y171" s="3188"/>
      <c r="Z171" s="3188"/>
      <c r="AA171" s="3188"/>
      <c r="AB171" s="3188"/>
      <c r="AC171" s="3188"/>
      <c r="AD171" s="1025"/>
      <c r="AE171" s="1025"/>
      <c r="AF171" s="3126" t="s">
        <v>1647</v>
      </c>
      <c r="AG171" s="3126"/>
      <c r="AH171" s="3126"/>
      <c r="AI171" s="3126"/>
      <c r="AJ171" s="3126"/>
      <c r="AK171" s="3126"/>
      <c r="AL171" s="3126"/>
      <c r="AN171" s="1002"/>
      <c r="AP171" s="945" t="s">
        <v>1160</v>
      </c>
      <c r="AQ171" s="945">
        <v>10</v>
      </c>
    </row>
    <row r="172" spans="1:81" s="945" customFormat="1" ht="12.75" customHeight="1">
      <c r="A172" s="929"/>
      <c r="B172" s="3189" t="s">
        <v>2238</v>
      </c>
      <c r="C172" s="3189"/>
      <c r="D172" s="3189"/>
      <c r="E172" s="3189"/>
      <c r="F172" s="3189"/>
      <c r="G172" s="3189"/>
      <c r="H172" s="3189"/>
      <c r="I172" s="3189"/>
      <c r="J172" s="3189"/>
      <c r="K172" s="3189"/>
      <c r="L172" s="3189"/>
      <c r="M172" s="3189"/>
      <c r="N172" s="3189"/>
      <c r="O172" s="3189"/>
      <c r="P172" s="3189"/>
      <c r="Q172" s="3189"/>
      <c r="R172" s="3189"/>
      <c r="S172" s="3189"/>
      <c r="T172" s="3190" t="s">
        <v>627</v>
      </c>
      <c r="U172" s="3190"/>
      <c r="V172" s="3190"/>
      <c r="W172" s="3190"/>
      <c r="X172" s="3190"/>
      <c r="Y172" s="3190"/>
      <c r="Z172" s="3190"/>
      <c r="AA172" s="3190"/>
      <c r="AB172" s="3190"/>
      <c r="AC172" s="3190"/>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14">
        <f>IF(AK72&gt;0,VLOOKUP($B$171,AP168:AQ175,2,FALSE),0)</f>
        <v>10</v>
      </c>
      <c r="AL174" s="3036"/>
      <c r="AM174" s="3015"/>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0" t="s">
        <v>1656</v>
      </c>
      <c r="AF177" s="3090"/>
      <c r="AG177" s="3090"/>
      <c r="AH177" s="3090"/>
      <c r="AI177" s="3090"/>
      <c r="AJ177" s="3090"/>
      <c r="AK177" s="3090"/>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7" t="s">
        <v>2529</v>
      </c>
      <c r="C182" s="3017"/>
      <c r="D182" s="3017"/>
      <c r="E182" s="3017"/>
      <c r="F182" s="3017"/>
      <c r="G182" s="3017"/>
      <c r="H182" s="3017"/>
      <c r="I182" s="3017"/>
      <c r="J182" s="3017"/>
      <c r="K182" s="3017"/>
      <c r="L182" s="3017"/>
      <c r="M182" s="3017"/>
      <c r="N182" s="3017"/>
      <c r="O182" s="3017"/>
      <c r="P182" s="3017"/>
      <c r="Q182" s="3017"/>
      <c r="R182" s="3017"/>
      <c r="S182" s="3017"/>
      <c r="T182" s="3017"/>
      <c r="U182" s="3017"/>
      <c r="V182" s="3017"/>
      <c r="W182" s="3017"/>
      <c r="X182" s="3017"/>
      <c r="Y182" s="3017"/>
      <c r="Z182" s="3017"/>
      <c r="AA182" s="3017"/>
      <c r="AB182" s="3017"/>
      <c r="AC182" s="1399"/>
      <c r="AD182" s="3172">
        <f>Application!AM565</f>
        <v>3200000</v>
      </c>
      <c r="AE182" s="3172"/>
      <c r="AF182" s="3172"/>
      <c r="AG182" s="3172"/>
      <c r="AH182" s="3172"/>
      <c r="AI182" s="3172"/>
      <c r="AJ182" s="3172"/>
      <c r="AK182" s="1026"/>
    </row>
    <row r="183" spans="1:37">
      <c r="A183" s="1018"/>
      <c r="B183" s="3017"/>
      <c r="C183" s="3017"/>
      <c r="D183" s="3017"/>
      <c r="E183" s="3017"/>
      <c r="F183" s="3017"/>
      <c r="G183" s="3017"/>
      <c r="H183" s="3017"/>
      <c r="I183" s="3017"/>
      <c r="J183" s="3017"/>
      <c r="K183" s="3017"/>
      <c r="L183" s="3017"/>
      <c r="M183" s="3017"/>
      <c r="N183" s="3017"/>
      <c r="O183" s="3017"/>
      <c r="P183" s="3017"/>
      <c r="Q183" s="3017"/>
      <c r="R183" s="3017"/>
      <c r="S183" s="3017"/>
      <c r="T183" s="3017"/>
      <c r="U183" s="3017"/>
      <c r="V183" s="3017"/>
      <c r="W183" s="3017"/>
      <c r="X183" s="3017"/>
      <c r="Y183" s="3017"/>
      <c r="Z183" s="3017"/>
      <c r="AA183" s="3017"/>
      <c r="AB183" s="3017"/>
      <c r="AC183" s="1399"/>
      <c r="AD183" s="3172"/>
      <c r="AE183" s="3172"/>
      <c r="AF183" s="3172"/>
      <c r="AG183" s="3172"/>
      <c r="AH183" s="3172"/>
      <c r="AI183" s="3172"/>
      <c r="AJ183" s="3172"/>
      <c r="AK183" s="1026"/>
    </row>
    <row r="184" spans="1:37">
      <c r="A184" s="1018"/>
      <c r="B184" s="3017"/>
      <c r="C184" s="3017"/>
      <c r="D184" s="3017"/>
      <c r="E184" s="3017"/>
      <c r="F184" s="3017"/>
      <c r="G184" s="3017"/>
      <c r="H184" s="3017"/>
      <c r="I184" s="3017"/>
      <c r="J184" s="3017"/>
      <c r="K184" s="3017"/>
      <c r="L184" s="3017"/>
      <c r="M184" s="3017"/>
      <c r="N184" s="3017"/>
      <c r="O184" s="3017"/>
      <c r="P184" s="3017"/>
      <c r="Q184" s="3017"/>
      <c r="R184" s="3017"/>
      <c r="S184" s="3017"/>
      <c r="T184" s="3017"/>
      <c r="U184" s="3017"/>
      <c r="V184" s="3017"/>
      <c r="W184" s="3017"/>
      <c r="X184" s="3017"/>
      <c r="Y184" s="3017"/>
      <c r="Z184" s="3017"/>
      <c r="AA184" s="3017"/>
      <c r="AB184" s="3017"/>
      <c r="AC184" s="1399"/>
      <c r="AD184" s="3172"/>
      <c r="AE184" s="3172"/>
      <c r="AF184" s="3172"/>
      <c r="AG184" s="3172"/>
      <c r="AH184" s="3172"/>
      <c r="AI184" s="3172"/>
      <c r="AJ184" s="3172"/>
      <c r="AK184" s="1026"/>
    </row>
    <row r="185" spans="1:37">
      <c r="A185" s="1018"/>
      <c r="B185" s="3017"/>
      <c r="C185" s="3017"/>
      <c r="D185" s="3017"/>
      <c r="E185" s="3017"/>
      <c r="F185" s="3017"/>
      <c r="G185" s="3017"/>
      <c r="H185" s="3017"/>
      <c r="I185" s="3017"/>
      <c r="J185" s="3017"/>
      <c r="K185" s="3017"/>
      <c r="L185" s="3017"/>
      <c r="M185" s="3017"/>
      <c r="N185" s="3017"/>
      <c r="O185" s="3017"/>
      <c r="P185" s="3017"/>
      <c r="Q185" s="3017"/>
      <c r="R185" s="3017"/>
      <c r="S185" s="3017"/>
      <c r="T185" s="3017"/>
      <c r="U185" s="3017"/>
      <c r="V185" s="3017"/>
      <c r="W185" s="3017"/>
      <c r="X185" s="3017"/>
      <c r="Y185" s="3017"/>
      <c r="Z185" s="3017"/>
      <c r="AA185" s="3017"/>
      <c r="AB185" s="3017"/>
      <c r="AC185" s="1399"/>
      <c r="AD185" s="3172"/>
      <c r="AE185" s="3172"/>
      <c r="AF185" s="3172"/>
      <c r="AG185" s="3172"/>
      <c r="AH185" s="3172"/>
      <c r="AI185" s="3172"/>
      <c r="AJ185" s="3172"/>
      <c r="AK185" s="1026"/>
    </row>
    <row r="186" spans="1:37">
      <c r="A186" s="1018"/>
      <c r="B186" s="3017"/>
      <c r="C186" s="3017"/>
      <c r="D186" s="3017"/>
      <c r="E186" s="3017"/>
      <c r="F186" s="3017"/>
      <c r="G186" s="3017"/>
      <c r="H186" s="3017"/>
      <c r="I186" s="3017"/>
      <c r="J186" s="3017"/>
      <c r="K186" s="3017"/>
      <c r="L186" s="3017"/>
      <c r="M186" s="3017"/>
      <c r="N186" s="3017"/>
      <c r="O186" s="3017"/>
      <c r="P186" s="3017"/>
      <c r="Q186" s="3017"/>
      <c r="R186" s="3017"/>
      <c r="S186" s="3017"/>
      <c r="T186" s="3017"/>
      <c r="U186" s="3017"/>
      <c r="V186" s="3017"/>
      <c r="W186" s="3017"/>
      <c r="X186" s="3017"/>
      <c r="Y186" s="3017"/>
      <c r="Z186" s="3017"/>
      <c r="AA186" s="3017"/>
      <c r="AB186" s="3017"/>
      <c r="AC186" s="1399"/>
      <c r="AD186" s="3172"/>
      <c r="AE186" s="3172"/>
      <c r="AF186" s="3172"/>
      <c r="AG186" s="3172"/>
      <c r="AH186" s="3172"/>
      <c r="AI186" s="3172"/>
      <c r="AJ186" s="3172"/>
      <c r="AK186" s="1026"/>
    </row>
    <row r="187" spans="1:37">
      <c r="A187" s="1018"/>
      <c r="B187" s="3017"/>
      <c r="C187" s="3017"/>
      <c r="D187" s="3017"/>
      <c r="E187" s="3017"/>
      <c r="F187" s="3017"/>
      <c r="G187" s="3017"/>
      <c r="H187" s="3017"/>
      <c r="I187" s="3017"/>
      <c r="J187" s="3017"/>
      <c r="K187" s="3017"/>
      <c r="L187" s="3017"/>
      <c r="M187" s="3017"/>
      <c r="N187" s="3017"/>
      <c r="O187" s="3017"/>
      <c r="P187" s="3017"/>
      <c r="Q187" s="3017"/>
      <c r="R187" s="3017"/>
      <c r="S187" s="3017"/>
      <c r="T187" s="3017"/>
      <c r="U187" s="3017"/>
      <c r="V187" s="3017"/>
      <c r="W187" s="3017"/>
      <c r="X187" s="3017"/>
      <c r="Y187" s="3017"/>
      <c r="Z187" s="3017"/>
      <c r="AA187" s="3017"/>
      <c r="AB187" s="3017"/>
      <c r="AC187" s="1399"/>
      <c r="AD187" s="3172"/>
      <c r="AE187" s="3172"/>
      <c r="AF187" s="3172"/>
      <c r="AG187" s="3172"/>
      <c r="AH187" s="3172"/>
      <c r="AI187" s="3172"/>
      <c r="AJ187" s="3172"/>
      <c r="AK187" s="1026"/>
    </row>
    <row r="188" spans="1:37">
      <c r="A188" s="1018"/>
      <c r="B188" s="3017"/>
      <c r="C188" s="3017"/>
      <c r="D188" s="3017"/>
      <c r="E188" s="3017"/>
      <c r="F188" s="3017"/>
      <c r="G188" s="3017"/>
      <c r="H188" s="3017"/>
      <c r="I188" s="3017"/>
      <c r="J188" s="3017"/>
      <c r="K188" s="3017"/>
      <c r="L188" s="3017"/>
      <c r="M188" s="3017"/>
      <c r="N188" s="3017"/>
      <c r="O188" s="3017"/>
      <c r="P188" s="3017"/>
      <c r="Q188" s="3017"/>
      <c r="R188" s="3017"/>
      <c r="S188" s="3017"/>
      <c r="T188" s="3017"/>
      <c r="U188" s="3017"/>
      <c r="V188" s="3017"/>
      <c r="W188" s="3017"/>
      <c r="X188" s="3017"/>
      <c r="Y188" s="3017"/>
      <c r="Z188" s="3017"/>
      <c r="AA188" s="3017"/>
      <c r="AB188" s="3017"/>
      <c r="AC188" s="1399"/>
      <c r="AD188" s="3172"/>
      <c r="AE188" s="3172"/>
      <c r="AF188" s="3172"/>
      <c r="AG188" s="3172"/>
      <c r="AH188" s="3172"/>
      <c r="AI188" s="3172"/>
      <c r="AJ188" s="3172"/>
      <c r="AK188" s="1026"/>
    </row>
    <row r="189" spans="1:37">
      <c r="A189" s="1018"/>
      <c r="B189" s="3017"/>
      <c r="C189" s="3017"/>
      <c r="D189" s="3017"/>
      <c r="E189" s="3017"/>
      <c r="F189" s="3017"/>
      <c r="G189" s="3017"/>
      <c r="H189" s="3017"/>
      <c r="I189" s="3017"/>
      <c r="J189" s="3017"/>
      <c r="K189" s="3017"/>
      <c r="L189" s="3017"/>
      <c r="M189" s="3017"/>
      <c r="N189" s="3017"/>
      <c r="O189" s="3017"/>
      <c r="P189" s="3017"/>
      <c r="Q189" s="3017"/>
      <c r="R189" s="3017"/>
      <c r="S189" s="3017"/>
      <c r="T189" s="3017"/>
      <c r="U189" s="3017"/>
      <c r="V189" s="3017"/>
      <c r="W189" s="3017"/>
      <c r="X189" s="3017"/>
      <c r="Y189" s="3017"/>
      <c r="Z189" s="3017"/>
      <c r="AA189" s="3017"/>
      <c r="AB189" s="3017"/>
      <c r="AC189" s="1399"/>
      <c r="AD189" s="3172"/>
      <c r="AE189" s="3172"/>
      <c r="AF189" s="3172"/>
      <c r="AG189" s="3172"/>
      <c r="AH189" s="3172"/>
      <c r="AI189" s="3172"/>
      <c r="AJ189" s="3172"/>
      <c r="AK189" s="1026"/>
    </row>
    <row r="190" spans="1:37">
      <c r="A190" s="1018"/>
      <c r="B190" s="3017"/>
      <c r="C190" s="3017"/>
      <c r="D190" s="3017"/>
      <c r="E190" s="3017"/>
      <c r="F190" s="3017"/>
      <c r="G190" s="3017"/>
      <c r="H190" s="3017"/>
      <c r="I190" s="3017"/>
      <c r="J190" s="3017"/>
      <c r="K190" s="3017"/>
      <c r="L190" s="3017"/>
      <c r="M190" s="3017"/>
      <c r="N190" s="3017"/>
      <c r="O190" s="3017"/>
      <c r="P190" s="3017"/>
      <c r="Q190" s="3017"/>
      <c r="R190" s="3017"/>
      <c r="S190" s="3017"/>
      <c r="T190" s="3017"/>
      <c r="U190" s="3017"/>
      <c r="V190" s="3017"/>
      <c r="W190" s="3017"/>
      <c r="X190" s="3017"/>
      <c r="Y190" s="3017"/>
      <c r="Z190" s="3017"/>
      <c r="AA190" s="3017"/>
      <c r="AB190" s="3017"/>
      <c r="AC190" s="1399"/>
      <c r="AD190" s="3172"/>
      <c r="AE190" s="3172"/>
      <c r="AF190" s="3172"/>
      <c r="AG190" s="3172"/>
      <c r="AH190" s="3172"/>
      <c r="AI190" s="3172"/>
      <c r="AJ190" s="3172"/>
      <c r="AK190" s="1026"/>
    </row>
    <row r="191" spans="1:37">
      <c r="A191" s="1018"/>
      <c r="B191" s="3017"/>
      <c r="C191" s="3017"/>
      <c r="D191" s="3017"/>
      <c r="E191" s="3017"/>
      <c r="F191" s="3017"/>
      <c r="G191" s="3017"/>
      <c r="H191" s="3017"/>
      <c r="I191" s="3017"/>
      <c r="J191" s="3017"/>
      <c r="K191" s="3017"/>
      <c r="L191" s="3017"/>
      <c r="M191" s="3017"/>
      <c r="N191" s="3017"/>
      <c r="O191" s="3017"/>
      <c r="P191" s="3017"/>
      <c r="Q191" s="3017"/>
      <c r="R191" s="3017"/>
      <c r="S191" s="3017"/>
      <c r="T191" s="3017"/>
      <c r="U191" s="3017"/>
      <c r="V191" s="3017"/>
      <c r="W191" s="3017"/>
      <c r="X191" s="3017"/>
      <c r="Y191" s="3017"/>
      <c r="Z191" s="3017"/>
      <c r="AA191" s="3017"/>
      <c r="AB191" s="3017"/>
      <c r="AC191" s="1399"/>
      <c r="AD191" s="3172"/>
      <c r="AE191" s="3172"/>
      <c r="AF191" s="3172"/>
      <c r="AG191" s="3172"/>
      <c r="AH191" s="3172"/>
      <c r="AI191" s="3172"/>
      <c r="AJ191" s="3172"/>
      <c r="AK191" s="1026"/>
    </row>
    <row r="192" spans="1:37">
      <c r="A192" s="1018"/>
      <c r="B192" s="3021" t="s">
        <v>1944</v>
      </c>
      <c r="C192" s="3021"/>
      <c r="D192" s="3021"/>
      <c r="E192" s="3021"/>
      <c r="F192" s="3021"/>
      <c r="G192" s="3021"/>
      <c r="H192" s="3021"/>
      <c r="I192" s="3021"/>
      <c r="J192" s="3021"/>
      <c r="K192" s="3021"/>
      <c r="L192" s="3021"/>
      <c r="M192" s="3021"/>
      <c r="N192" s="3021"/>
      <c r="O192" s="3021"/>
      <c r="P192" s="3021"/>
      <c r="Q192" s="3021"/>
      <c r="R192" s="3021"/>
      <c r="S192" s="3021"/>
      <c r="T192" s="3021"/>
      <c r="U192" s="3021"/>
      <c r="V192" s="3021"/>
      <c r="W192" s="3021"/>
      <c r="X192" s="3021"/>
      <c r="Y192" s="3021"/>
      <c r="Z192" s="3021"/>
      <c r="AA192" s="3021"/>
      <c r="AB192" s="3021"/>
      <c r="AC192" s="929"/>
      <c r="AD192" s="3170">
        <f>AB243</f>
        <v>0</v>
      </c>
      <c r="AE192" s="3170"/>
      <c r="AF192" s="3170"/>
      <c r="AG192" s="3170"/>
      <c r="AH192" s="3170"/>
      <c r="AI192" s="3170"/>
      <c r="AJ192" s="3170"/>
      <c r="AK192" s="1026"/>
    </row>
    <row r="193" spans="1:37">
      <c r="A193" s="1018"/>
      <c r="B193" s="3019" t="s">
        <v>1907</v>
      </c>
      <c r="C193" s="3019"/>
      <c r="D193" s="3019"/>
      <c r="E193" s="3019"/>
      <c r="F193" s="3019"/>
      <c r="G193" s="3019"/>
      <c r="H193" s="3019"/>
      <c r="I193" s="3019"/>
      <c r="J193" s="3019"/>
      <c r="K193" s="3019"/>
      <c r="L193" s="3019"/>
      <c r="M193" s="3019"/>
      <c r="N193" s="3019"/>
      <c r="O193" s="3019"/>
      <c r="P193" s="3019"/>
      <c r="Q193" s="3019"/>
      <c r="R193" s="3019"/>
      <c r="S193" s="3019"/>
      <c r="T193" s="3019"/>
      <c r="U193" s="3019"/>
      <c r="V193" s="3019"/>
      <c r="W193" s="3019"/>
      <c r="X193" s="3019"/>
      <c r="Y193" s="3019"/>
      <c r="Z193" s="3019"/>
      <c r="AA193" s="3019"/>
      <c r="AB193" s="3019"/>
      <c r="AC193" s="1399"/>
      <c r="AD193" s="3171">
        <f>'Sources and Uses Budget'!B15</f>
        <v>0</v>
      </c>
      <c r="AE193" s="3171"/>
      <c r="AF193" s="3171"/>
      <c r="AG193" s="3171"/>
      <c r="AH193" s="3171"/>
      <c r="AI193" s="3171"/>
      <c r="AJ193" s="317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6">
        <f>SUM(AD182:AJ192)-AD193</f>
        <v>3200000</v>
      </c>
      <c r="AE194" s="3176"/>
      <c r="AF194" s="3176"/>
      <c r="AG194" s="3176"/>
      <c r="AH194" s="3176"/>
      <c r="AI194" s="3176"/>
      <c r="AJ194" s="317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6" t="s">
        <v>1924</v>
      </c>
      <c r="J205" s="3196"/>
      <c r="K205" s="3196"/>
      <c r="L205" s="993"/>
      <c r="M205" s="993"/>
      <c r="N205" s="993"/>
      <c r="O205" s="993"/>
      <c r="P205" s="993"/>
      <c r="Q205" s="993"/>
      <c r="R205" s="993"/>
      <c r="S205" s="993"/>
      <c r="T205" s="2991" t="s">
        <v>1918</v>
      </c>
      <c r="U205" s="2991"/>
      <c r="V205" s="2991"/>
      <c r="W205" s="2991"/>
      <c r="X205" s="2991"/>
      <c r="Y205" s="2991"/>
      <c r="Z205" s="1403"/>
      <c r="AA205" s="1404"/>
      <c r="AB205" s="3192" t="s">
        <v>1919</v>
      </c>
      <c r="AC205" s="3192"/>
      <c r="AD205" s="3192"/>
      <c r="AE205" s="3192"/>
      <c r="AF205" s="3192"/>
      <c r="AG205" s="3192"/>
      <c r="AH205" s="1373"/>
      <c r="AI205" s="1373"/>
      <c r="AJ205" s="1373"/>
      <c r="AK205" s="1026"/>
    </row>
    <row r="206" spans="1:37">
      <c r="A206" s="1018"/>
      <c r="B206" s="3194" t="s">
        <v>1897</v>
      </c>
      <c r="C206" s="3194"/>
      <c r="D206" s="3194"/>
      <c r="E206" s="3194"/>
      <c r="F206" s="3194"/>
      <c r="G206" s="3194"/>
      <c r="I206" s="3195" t="s">
        <v>1925</v>
      </c>
      <c r="J206" s="3195"/>
      <c r="K206" s="3195"/>
      <c r="L206" s="1817"/>
      <c r="N206" s="3020" t="s">
        <v>1920</v>
      </c>
      <c r="O206" s="3020"/>
      <c r="P206" s="3020"/>
      <c r="Q206" s="3020"/>
      <c r="R206" s="3020"/>
      <c r="T206" s="3020" t="s">
        <v>1921</v>
      </c>
      <c r="U206" s="3020"/>
      <c r="V206" s="3020"/>
      <c r="W206" s="3020"/>
      <c r="X206" s="3020"/>
      <c r="Y206" s="3020"/>
      <c r="Z206" s="1405"/>
      <c r="AA206" s="1404"/>
      <c r="AB206" s="3023" t="s">
        <v>1922</v>
      </c>
      <c r="AC206" s="3023"/>
      <c r="AD206" s="3023"/>
      <c r="AE206" s="3023"/>
      <c r="AF206" s="3023"/>
      <c r="AG206" s="3023"/>
      <c r="AH206" s="1373"/>
      <c r="AI206" s="1373"/>
      <c r="AJ206" s="1373"/>
      <c r="AK206" s="1026"/>
    </row>
    <row r="207" spans="1:37">
      <c r="A207" s="1018"/>
      <c r="B207" s="3022" t="s">
        <v>1387</v>
      </c>
      <c r="C207" s="3022"/>
      <c r="D207" s="3022"/>
      <c r="E207" s="3022"/>
      <c r="F207" s="3022"/>
      <c r="G207" s="3022"/>
      <c r="H207" s="1407"/>
      <c r="I207" s="2996"/>
      <c r="J207" s="2996"/>
      <c r="K207" s="2996"/>
      <c r="L207" s="1817"/>
      <c r="N207" s="2993"/>
      <c r="O207" s="2993"/>
      <c r="P207" s="2993"/>
      <c r="Q207" s="2993"/>
      <c r="R207" s="2993"/>
      <c r="T207" s="2992"/>
      <c r="U207" s="2992"/>
      <c r="V207" s="2992"/>
      <c r="W207" s="2992"/>
      <c r="X207" s="2992"/>
      <c r="Y207" s="2992"/>
      <c r="Z207" s="1406"/>
      <c r="AA207" s="1406"/>
      <c r="AB207" s="2990">
        <f t="shared" ref="AB207:AB216" si="0">MAX(($T207-$N207)*$I207*12,0)</f>
        <v>0</v>
      </c>
      <c r="AC207" s="2990"/>
      <c r="AD207" s="2990"/>
      <c r="AE207" s="2990"/>
      <c r="AF207" s="2990"/>
      <c r="AG207" s="2990"/>
      <c r="AH207" s="1373"/>
      <c r="AI207" s="1373"/>
      <c r="AJ207" s="1373"/>
      <c r="AK207" s="1026"/>
    </row>
    <row r="208" spans="1:37">
      <c r="A208" s="1018"/>
      <c r="B208" s="3022" t="s">
        <v>1387</v>
      </c>
      <c r="C208" s="3022"/>
      <c r="D208" s="3022"/>
      <c r="E208" s="3022"/>
      <c r="F208" s="3022"/>
      <c r="G208" s="3022"/>
      <c r="I208" s="2996"/>
      <c r="J208" s="2996"/>
      <c r="K208" s="2996"/>
      <c r="L208" s="1817"/>
      <c r="N208" s="2993"/>
      <c r="O208" s="2993"/>
      <c r="P208" s="2993"/>
      <c r="Q208" s="2993"/>
      <c r="R208" s="2993"/>
      <c r="T208" s="2992"/>
      <c r="U208" s="2992"/>
      <c r="V208" s="2992"/>
      <c r="W208" s="2992"/>
      <c r="X208" s="2992"/>
      <c r="Y208" s="2992"/>
      <c r="Z208" s="1406"/>
      <c r="AA208" s="1406"/>
      <c r="AB208" s="2990">
        <f t="shared" si="0"/>
        <v>0</v>
      </c>
      <c r="AC208" s="2990"/>
      <c r="AD208" s="2990"/>
      <c r="AE208" s="2990"/>
      <c r="AF208" s="2990"/>
      <c r="AG208" s="2990"/>
      <c r="AH208" s="1373"/>
      <c r="AI208" s="1373"/>
      <c r="AJ208" s="1373"/>
      <c r="AK208" s="1026"/>
    </row>
    <row r="209" spans="1:37">
      <c r="A209" s="1018"/>
      <c r="B209" s="3022" t="s">
        <v>1387</v>
      </c>
      <c r="C209" s="3022"/>
      <c r="D209" s="3022"/>
      <c r="E209" s="3022"/>
      <c r="F209" s="3022"/>
      <c r="G209" s="3022"/>
      <c r="I209" s="2996"/>
      <c r="J209" s="2996"/>
      <c r="K209" s="2996"/>
      <c r="L209" s="1817"/>
      <c r="N209" s="2993"/>
      <c r="O209" s="2993"/>
      <c r="P209" s="2993"/>
      <c r="Q209" s="2993"/>
      <c r="R209" s="2993"/>
      <c r="T209" s="2992"/>
      <c r="U209" s="2992"/>
      <c r="V209" s="2992"/>
      <c r="W209" s="2992"/>
      <c r="X209" s="2992"/>
      <c r="Y209" s="2992"/>
      <c r="Z209" s="1406"/>
      <c r="AA209" s="1406"/>
      <c r="AB209" s="2990">
        <f t="shared" si="0"/>
        <v>0</v>
      </c>
      <c r="AC209" s="2990"/>
      <c r="AD209" s="2990"/>
      <c r="AE209" s="2990"/>
      <c r="AF209" s="2990"/>
      <c r="AG209" s="2990"/>
      <c r="AH209" s="1373"/>
      <c r="AI209" s="1373"/>
      <c r="AJ209" s="1373"/>
      <c r="AK209" s="1026"/>
    </row>
    <row r="210" spans="1:37">
      <c r="A210" s="1018"/>
      <c r="B210" s="3022" t="s">
        <v>1387</v>
      </c>
      <c r="C210" s="3022"/>
      <c r="D210" s="3022"/>
      <c r="E210" s="3022"/>
      <c r="F210" s="3022"/>
      <c r="G210" s="3022"/>
      <c r="I210" s="2996"/>
      <c r="J210" s="2996"/>
      <c r="K210" s="2996"/>
      <c r="L210" s="1817"/>
      <c r="N210" s="2993"/>
      <c r="O210" s="2993"/>
      <c r="P210" s="2993"/>
      <c r="Q210" s="2993"/>
      <c r="R210" s="2993"/>
      <c r="T210" s="2992"/>
      <c r="U210" s="2992"/>
      <c r="V210" s="2992"/>
      <c r="W210" s="2992"/>
      <c r="X210" s="2992"/>
      <c r="Y210" s="2992"/>
      <c r="Z210" s="1406"/>
      <c r="AA210" s="1406"/>
      <c r="AB210" s="2990">
        <f t="shared" si="0"/>
        <v>0</v>
      </c>
      <c r="AC210" s="2990"/>
      <c r="AD210" s="2990"/>
      <c r="AE210" s="2990"/>
      <c r="AF210" s="2990"/>
      <c r="AG210" s="2990"/>
      <c r="AH210" s="1373"/>
      <c r="AI210" s="1373"/>
      <c r="AJ210" s="1373"/>
      <c r="AK210" s="1026"/>
    </row>
    <row r="211" spans="1:37">
      <c r="A211" s="1018"/>
      <c r="B211" s="3022" t="s">
        <v>1387</v>
      </c>
      <c r="C211" s="3022"/>
      <c r="D211" s="3022"/>
      <c r="E211" s="3022"/>
      <c r="F211" s="3022"/>
      <c r="G211" s="3022"/>
      <c r="I211" s="2996"/>
      <c r="J211" s="2996"/>
      <c r="K211" s="2996"/>
      <c r="L211" s="1829"/>
      <c r="N211" s="2993"/>
      <c r="O211" s="2993"/>
      <c r="P211" s="2993"/>
      <c r="Q211" s="2993"/>
      <c r="R211" s="2993"/>
      <c r="T211" s="2992"/>
      <c r="U211" s="2992"/>
      <c r="V211" s="2992"/>
      <c r="W211" s="2992"/>
      <c r="X211" s="2992"/>
      <c r="Y211" s="2992"/>
      <c r="Z211" s="1406"/>
      <c r="AA211" s="1406"/>
      <c r="AB211" s="2990">
        <f t="shared" si="0"/>
        <v>0</v>
      </c>
      <c r="AC211" s="2990"/>
      <c r="AD211" s="2990"/>
      <c r="AE211" s="2990"/>
      <c r="AF211" s="2990"/>
      <c r="AG211" s="2990"/>
      <c r="AH211" s="1373"/>
      <c r="AI211" s="1373"/>
      <c r="AJ211" s="1373"/>
      <c r="AK211" s="1026"/>
    </row>
    <row r="212" spans="1:37">
      <c r="A212" s="1018"/>
      <c r="B212" s="3022" t="s">
        <v>1387</v>
      </c>
      <c r="C212" s="3022"/>
      <c r="D212" s="3022"/>
      <c r="E212" s="3022"/>
      <c r="F212" s="3022"/>
      <c r="G212" s="3022"/>
      <c r="I212" s="2996"/>
      <c r="J212" s="2996"/>
      <c r="K212" s="2996"/>
      <c r="L212" s="1829"/>
      <c r="N212" s="2993"/>
      <c r="O212" s="2993"/>
      <c r="P212" s="2993"/>
      <c r="Q212" s="2993"/>
      <c r="R212" s="2993"/>
      <c r="T212" s="2992"/>
      <c r="U212" s="2992"/>
      <c r="V212" s="2992"/>
      <c r="W212" s="2992"/>
      <c r="X212" s="2992"/>
      <c r="Y212" s="2992"/>
      <c r="Z212" s="1406"/>
      <c r="AA212" s="1406"/>
      <c r="AB212" s="2990">
        <f t="shared" si="0"/>
        <v>0</v>
      </c>
      <c r="AC212" s="2990"/>
      <c r="AD212" s="2990"/>
      <c r="AE212" s="2990"/>
      <c r="AF212" s="2990"/>
      <c r="AG212" s="2990"/>
      <c r="AH212" s="1373"/>
      <c r="AI212" s="1373"/>
      <c r="AJ212" s="1373"/>
      <c r="AK212" s="1026"/>
    </row>
    <row r="213" spans="1:37">
      <c r="A213" s="1018"/>
      <c r="B213" s="3022" t="s">
        <v>1387</v>
      </c>
      <c r="C213" s="3022"/>
      <c r="D213" s="3022"/>
      <c r="E213" s="3022"/>
      <c r="F213" s="3022"/>
      <c r="G213" s="3022"/>
      <c r="I213" s="2996"/>
      <c r="J213" s="2996"/>
      <c r="K213" s="2996"/>
      <c r="L213" s="1829"/>
      <c r="N213" s="2993"/>
      <c r="O213" s="2993"/>
      <c r="P213" s="2993"/>
      <c r="Q213" s="2993"/>
      <c r="R213" s="2993"/>
      <c r="T213" s="2992"/>
      <c r="U213" s="2992"/>
      <c r="V213" s="2992"/>
      <c r="W213" s="2992"/>
      <c r="X213" s="2992"/>
      <c r="Y213" s="2992"/>
      <c r="Z213" s="1406"/>
      <c r="AA213" s="1406"/>
      <c r="AB213" s="2990">
        <f t="shared" si="0"/>
        <v>0</v>
      </c>
      <c r="AC213" s="2990"/>
      <c r="AD213" s="2990"/>
      <c r="AE213" s="2990"/>
      <c r="AF213" s="2990"/>
      <c r="AG213" s="2990"/>
      <c r="AH213" s="1373"/>
      <c r="AI213" s="1373"/>
      <c r="AJ213" s="1373"/>
      <c r="AK213" s="1026"/>
    </row>
    <row r="214" spans="1:37">
      <c r="A214" s="1018"/>
      <c r="B214" s="3022" t="s">
        <v>1387</v>
      </c>
      <c r="C214" s="3022"/>
      <c r="D214" s="3022"/>
      <c r="E214" s="3022"/>
      <c r="F214" s="3022"/>
      <c r="G214" s="3022"/>
      <c r="I214" s="2996"/>
      <c r="J214" s="2996"/>
      <c r="K214" s="2996"/>
      <c r="L214" s="1829"/>
      <c r="N214" s="2993"/>
      <c r="O214" s="2993"/>
      <c r="P214" s="2993"/>
      <c r="Q214" s="2993"/>
      <c r="R214" s="2993"/>
      <c r="T214" s="2992"/>
      <c r="U214" s="2992"/>
      <c r="V214" s="2992"/>
      <c r="W214" s="2992"/>
      <c r="X214" s="2992"/>
      <c r="Y214" s="2992"/>
      <c r="Z214" s="1406"/>
      <c r="AA214" s="1406"/>
      <c r="AB214" s="2990">
        <f t="shared" si="0"/>
        <v>0</v>
      </c>
      <c r="AC214" s="2990"/>
      <c r="AD214" s="2990"/>
      <c r="AE214" s="2990"/>
      <c r="AF214" s="2990"/>
      <c r="AG214" s="2990"/>
      <c r="AH214" s="1373"/>
      <c r="AI214" s="1373"/>
      <c r="AJ214" s="1373"/>
      <c r="AK214" s="1026"/>
    </row>
    <row r="215" spans="1:37">
      <c r="A215" s="1018"/>
      <c r="B215" s="3022" t="s">
        <v>1387</v>
      </c>
      <c r="C215" s="3022"/>
      <c r="D215" s="3022"/>
      <c r="E215" s="3022"/>
      <c r="F215" s="3022"/>
      <c r="G215" s="3022"/>
      <c r="I215" s="2996"/>
      <c r="J215" s="2996"/>
      <c r="K215" s="2996"/>
      <c r="L215" s="1829"/>
      <c r="N215" s="2993"/>
      <c r="O215" s="2993"/>
      <c r="P215" s="2993"/>
      <c r="Q215" s="2993"/>
      <c r="R215" s="2993"/>
      <c r="T215" s="2992"/>
      <c r="U215" s="2992"/>
      <c r="V215" s="2992"/>
      <c r="W215" s="2992"/>
      <c r="X215" s="2992"/>
      <c r="Y215" s="2992"/>
      <c r="Z215" s="1406"/>
      <c r="AA215" s="1406"/>
      <c r="AB215" s="2990">
        <f t="shared" si="0"/>
        <v>0</v>
      </c>
      <c r="AC215" s="2990"/>
      <c r="AD215" s="2990"/>
      <c r="AE215" s="2990"/>
      <c r="AF215" s="2990"/>
      <c r="AG215" s="2990"/>
      <c r="AH215" s="1373"/>
      <c r="AI215" s="1373"/>
      <c r="AJ215" s="1373"/>
      <c r="AK215" s="1026"/>
    </row>
    <row r="216" spans="1:37">
      <c r="A216" s="1018"/>
      <c r="B216" s="3022" t="s">
        <v>1387</v>
      </c>
      <c r="C216" s="3022"/>
      <c r="D216" s="3022"/>
      <c r="E216" s="3022"/>
      <c r="F216" s="3022"/>
      <c r="G216" s="3022"/>
      <c r="I216" s="3197"/>
      <c r="J216" s="3197"/>
      <c r="K216" s="3197"/>
      <c r="L216" s="1829"/>
      <c r="N216" s="2993"/>
      <c r="O216" s="2993"/>
      <c r="P216" s="2993"/>
      <c r="Q216" s="2993"/>
      <c r="R216" s="2993"/>
      <c r="T216" s="2992"/>
      <c r="U216" s="2992"/>
      <c r="V216" s="2992"/>
      <c r="W216" s="2992"/>
      <c r="X216" s="2992"/>
      <c r="Y216" s="2992"/>
      <c r="Z216" s="1406"/>
      <c r="AA216" s="1406"/>
      <c r="AB216" s="2998">
        <f t="shared" si="0"/>
        <v>0</v>
      </c>
      <c r="AC216" s="2998"/>
      <c r="AD216" s="2998"/>
      <c r="AE216" s="2998"/>
      <c r="AF216" s="2998"/>
      <c r="AG216" s="299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2990">
        <f>SUM(AB207:AB216)</f>
        <v>0</v>
      </c>
      <c r="AC217" s="2990"/>
      <c r="AD217" s="2990"/>
      <c r="AE217" s="2990"/>
      <c r="AF217" s="2990"/>
      <c r="AG217" s="299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4"/>
      <c r="AC223" s="3184"/>
      <c r="AD223" s="3184"/>
      <c r="AE223" s="3184"/>
      <c r="AF223" s="3184"/>
      <c r="AG223" s="3184"/>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4"/>
      <c r="AC226" s="3184"/>
      <c r="AD226" s="3184"/>
      <c r="AE226" s="3184"/>
      <c r="AF226" s="3184"/>
      <c r="AG226" s="3184"/>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9"/>
      <c r="AC227" s="2989"/>
      <c r="AD227" s="2989"/>
      <c r="AE227" s="2989"/>
      <c r="AF227" s="2989"/>
      <c r="AG227" s="2989"/>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9">
        <f>IFERROR(AB226/AB227,0)</f>
        <v>0</v>
      </c>
      <c r="AC228" s="2999"/>
      <c r="AD228" s="2999"/>
      <c r="AE228" s="2999"/>
      <c r="AF228" s="2999"/>
      <c r="AG228" s="299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8">
        <f>MAX(AB223,AB228)</f>
        <v>0</v>
      </c>
      <c r="AC230" s="3018"/>
      <c r="AD230" s="3018"/>
      <c r="AE230" s="3018"/>
      <c r="AF230" s="3018"/>
      <c r="AG230" s="3018"/>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7">
        <f>AB217+AB230</f>
        <v>0</v>
      </c>
      <c r="AC233" s="2997"/>
      <c r="AD233" s="2997"/>
      <c r="AE233" s="2997"/>
      <c r="AF233" s="2997"/>
      <c r="AG233" s="2997"/>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0">
        <v>0.05</v>
      </c>
      <c r="AC234" s="3180"/>
      <c r="AD234" s="3180"/>
      <c r="AE234" s="3180"/>
      <c r="AF234" s="3180"/>
      <c r="AG234" s="3180"/>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1">
        <f>AB233-(AB233*AB234)</f>
        <v>0</v>
      </c>
      <c r="AC235" s="3181"/>
      <c r="AD235" s="3181"/>
      <c r="AE235" s="3181"/>
      <c r="AF235" s="3181"/>
      <c r="AG235" s="3181"/>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7">
        <f>AB235/AB241</f>
        <v>0</v>
      </c>
      <c r="AC237" s="2997"/>
      <c r="AD237" s="2997"/>
      <c r="AE237" s="2997"/>
      <c r="AF237" s="2997"/>
      <c r="AG237" s="299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3">
        <v>15</v>
      </c>
      <c r="AC239" s="3193"/>
      <c r="AD239" s="3193"/>
      <c r="AE239" s="3193"/>
      <c r="AF239" s="3193"/>
      <c r="AG239" s="3193"/>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2">
        <v>0.04</v>
      </c>
      <c r="AC240" s="3182"/>
      <c r="AD240" s="3182"/>
      <c r="AE240" s="3182"/>
      <c r="AF240" s="3182"/>
      <c r="AG240" s="3182"/>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3">
        <v>1.1499999999999999</v>
      </c>
      <c r="AC241" s="3183"/>
      <c r="AD241" s="3183"/>
      <c r="AE241" s="3183"/>
      <c r="AF241" s="3183"/>
      <c r="AG241" s="3183"/>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3">
        <f>PV(AB240/12,AB239*12,-AB237/12, ,0)</f>
        <v>0</v>
      </c>
      <c r="AC243" s="3174"/>
      <c r="AD243" s="3174"/>
      <c r="AE243" s="3174"/>
      <c r="AF243" s="3174"/>
      <c r="AG243" s="317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7">
        <f>IFERROR(('Sources and Uses Budget'!D105/'Sources and Uses Budget'!B105),0)</f>
        <v>0</v>
      </c>
      <c r="AC249" s="3178"/>
      <c r="AD249" s="3178"/>
      <c r="AE249" s="3178"/>
      <c r="AF249" s="3178"/>
      <c r="AG249" s="317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3">
        <f>AD194*(1-AB249)</f>
        <v>3200000</v>
      </c>
      <c r="AH251" s="3083"/>
      <c r="AI251" s="3083"/>
      <c r="AJ251" s="3083"/>
      <c r="AK251" s="3083"/>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3">
        <f>'Sources and Uses Budget'!C105</f>
        <v>63896621.333333336</v>
      </c>
      <c r="AH252" s="3083"/>
      <c r="AI252" s="3083"/>
      <c r="AJ252" s="3083"/>
      <c r="AK252" s="308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7">
        <f>ROUNDDOWN(IF(AND(C274="Yes",AK72=10),((AG251*2)/AG252),AG251/AG252),2)</f>
        <v>0.1</v>
      </c>
      <c r="AH253" s="3167"/>
      <c r="AI253" s="3167"/>
      <c r="AJ253" s="3167"/>
      <c r="AK253" s="3167"/>
    </row>
    <row r="254" spans="1:39">
      <c r="A254" s="1047"/>
      <c r="B254" s="1703" t="s">
        <v>2254</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68">
        <f>IF(AG253=0,0,IF((AG253*100)&gt;8,8,(AG253*100)))</f>
        <v>8</v>
      </c>
      <c r="AL256" s="3168"/>
      <c r="AM256" s="3169"/>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3010" t="s">
        <v>579</v>
      </c>
      <c r="D261" s="3010"/>
      <c r="E261" s="942"/>
      <c r="F261" s="3160" t="s">
        <v>2000</v>
      </c>
      <c r="G261" s="3161"/>
      <c r="H261" s="3161"/>
      <c r="I261" s="3161"/>
      <c r="J261" s="3161"/>
      <c r="K261" s="3161"/>
      <c r="L261" s="3161"/>
      <c r="M261" s="3161"/>
      <c r="N261" s="3161"/>
      <c r="O261" s="3161"/>
      <c r="P261" s="3161"/>
      <c r="Q261" s="3161"/>
      <c r="R261" s="3161"/>
      <c r="S261" s="3161"/>
      <c r="T261" s="3161"/>
      <c r="U261" s="3161"/>
      <c r="V261" s="3161"/>
      <c r="W261" s="3161"/>
      <c r="X261" s="3161"/>
      <c r="Y261" s="3161"/>
      <c r="Z261" s="3161"/>
      <c r="AA261" s="3161"/>
      <c r="AB261" s="3161"/>
      <c r="AC261" s="3161"/>
      <c r="AD261" s="3162"/>
      <c r="AE261" s="945"/>
      <c r="AF261" s="1068"/>
      <c r="AG261" s="3166" t="s">
        <v>1662</v>
      </c>
      <c r="AH261" s="3166"/>
      <c r="AI261" s="3166"/>
      <c r="AJ261" s="3166"/>
      <c r="AK261" s="1028"/>
      <c r="AL261" s="1028"/>
      <c r="AM261" s="1028"/>
      <c r="AN261" s="1063"/>
      <c r="AO261" s="945">
        <f>IF($C$261="yes",5,0)</f>
        <v>5</v>
      </c>
      <c r="AS261" s="21"/>
      <c r="AT261" s="21"/>
    </row>
    <row r="262" spans="1:81" ht="13.65" customHeight="1">
      <c r="A262" s="1062"/>
      <c r="B262" s="1067"/>
      <c r="C262" s="1069"/>
      <c r="D262" s="945"/>
      <c r="E262" s="942"/>
      <c r="F262" s="3163"/>
      <c r="G262" s="3164"/>
      <c r="H262" s="3164"/>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64"/>
      <c r="AD262" s="316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65" customHeight="1">
      <c r="A264" s="1062"/>
      <c r="B264" s="1067"/>
      <c r="C264" s="3010" t="s">
        <v>579</v>
      </c>
      <c r="D264" s="3010"/>
      <c r="E264" s="942"/>
      <c r="F264" s="3160" t="s">
        <v>2204</v>
      </c>
      <c r="G264" s="3161"/>
      <c r="H264" s="3161"/>
      <c r="I264" s="3161"/>
      <c r="J264" s="3161"/>
      <c r="K264" s="3161"/>
      <c r="L264" s="3161"/>
      <c r="M264" s="3161"/>
      <c r="N264" s="3161"/>
      <c r="O264" s="3161"/>
      <c r="P264" s="3161"/>
      <c r="Q264" s="3161"/>
      <c r="R264" s="3161"/>
      <c r="S264" s="3161"/>
      <c r="T264" s="3161"/>
      <c r="U264" s="3161"/>
      <c r="V264" s="3161"/>
      <c r="W264" s="3161"/>
      <c r="X264" s="3161"/>
      <c r="Y264" s="3161"/>
      <c r="Z264" s="3161"/>
      <c r="AA264" s="3161"/>
      <c r="AB264" s="3161"/>
      <c r="AC264" s="3161"/>
      <c r="AD264" s="3162"/>
      <c r="AE264" s="945"/>
      <c r="AF264" s="1068"/>
      <c r="AG264" s="3166" t="s">
        <v>1662</v>
      </c>
      <c r="AH264" s="3166"/>
      <c r="AI264" s="3166"/>
      <c r="AJ264" s="3166"/>
      <c r="AK264" s="1028"/>
      <c r="AL264" s="1028"/>
      <c r="AM264" s="1028"/>
      <c r="AN264" s="1063"/>
      <c r="AS264" s="21"/>
      <c r="AT264" s="21"/>
    </row>
    <row r="265" spans="1:81" ht="13.65" customHeight="1">
      <c r="A265" s="1062"/>
      <c r="C265" s="1071"/>
      <c r="D265" s="1071"/>
      <c r="E265" s="1071"/>
      <c r="F265" s="3163"/>
      <c r="G265" s="3164"/>
      <c r="H265" s="3164"/>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64"/>
      <c r="AD265" s="316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14">
        <f>$AO$263</f>
        <v>10</v>
      </c>
      <c r="AL267" s="3036"/>
      <c r="AM267" s="3015"/>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2444</v>
      </c>
      <c r="AH270" s="1036" t="s">
        <v>1576</v>
      </c>
    </row>
    <row r="271" spans="1:81" ht="15" customHeight="1">
      <c r="B271" s="934" t="s">
        <v>2443</v>
      </c>
    </row>
    <row r="272" spans="1:81" ht="15" customHeight="1">
      <c r="B272" s="934" t="s">
        <v>2445</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5" t="s">
        <v>1666</v>
      </c>
      <c r="B274" s="3135"/>
      <c r="C274" s="3010" t="s">
        <v>579</v>
      </c>
      <c r="D274" s="3010"/>
      <c r="E274" s="942"/>
      <c r="F274" s="3157" t="s">
        <v>1667</v>
      </c>
      <c r="G274" s="3158"/>
      <c r="H274" s="3158"/>
      <c r="I274" s="3158"/>
      <c r="J274" s="3158"/>
      <c r="K274" s="3158"/>
      <c r="L274" s="3158"/>
      <c r="M274" s="3158"/>
      <c r="N274" s="3158"/>
      <c r="O274" s="3158"/>
      <c r="P274" s="3158"/>
      <c r="Q274" s="3158"/>
      <c r="R274" s="3158"/>
      <c r="S274" s="3158"/>
      <c r="T274" s="3158"/>
      <c r="U274" s="3158"/>
      <c r="V274" s="3158"/>
      <c r="W274" s="3158"/>
      <c r="X274" s="3158"/>
      <c r="Y274" s="3158"/>
      <c r="Z274" s="3158"/>
      <c r="AA274" s="3158"/>
      <c r="AB274" s="3158"/>
      <c r="AC274" s="3158"/>
      <c r="AD274" s="3159"/>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2"/>
      <c r="G275" s="3016"/>
      <c r="H275" s="3016"/>
      <c r="I275" s="3016"/>
      <c r="J275" s="3016"/>
      <c r="K275" s="3016"/>
      <c r="L275" s="3016"/>
      <c r="M275" s="3016"/>
      <c r="N275" s="3016"/>
      <c r="O275" s="3016"/>
      <c r="P275" s="3016"/>
      <c r="Q275" s="3016"/>
      <c r="R275" s="3016"/>
      <c r="S275" s="3016"/>
      <c r="T275" s="3016"/>
      <c r="U275" s="3016"/>
      <c r="V275" s="3016"/>
      <c r="W275" s="3016"/>
      <c r="X275" s="3016"/>
      <c r="Y275" s="3016"/>
      <c r="Z275" s="3016"/>
      <c r="AA275" s="3016"/>
      <c r="AB275" s="3016"/>
      <c r="AC275" s="3016"/>
      <c r="AD275" s="3153"/>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152"/>
      <c r="G276" s="3016"/>
      <c r="H276" s="3016"/>
      <c r="I276" s="3016"/>
      <c r="J276" s="3016"/>
      <c r="K276" s="3016"/>
      <c r="L276" s="3016"/>
      <c r="M276" s="3016"/>
      <c r="N276" s="3016"/>
      <c r="O276" s="3016"/>
      <c r="P276" s="3016"/>
      <c r="Q276" s="3016"/>
      <c r="R276" s="3016"/>
      <c r="S276" s="3016"/>
      <c r="T276" s="3016"/>
      <c r="U276" s="3016"/>
      <c r="V276" s="3016"/>
      <c r="W276" s="3016"/>
      <c r="X276" s="3016"/>
      <c r="Y276" s="3016"/>
      <c r="Z276" s="3016"/>
      <c r="AA276" s="3016"/>
      <c r="AB276" s="3016"/>
      <c r="AC276" s="3016"/>
      <c r="AD276" s="315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2" t="s">
        <v>1669</v>
      </c>
      <c r="G277" s="3016"/>
      <c r="H277" s="3016"/>
      <c r="I277" s="3016"/>
      <c r="J277" s="3016"/>
      <c r="K277" s="3016"/>
      <c r="L277" s="3016"/>
      <c r="M277" s="3016"/>
      <c r="N277" s="3016"/>
      <c r="O277" s="3016"/>
      <c r="P277" s="3016"/>
      <c r="Q277" s="3016"/>
      <c r="R277" s="3016"/>
      <c r="S277" s="3016"/>
      <c r="T277" s="3016"/>
      <c r="U277" s="3016"/>
      <c r="V277" s="3016"/>
      <c r="W277" s="3016"/>
      <c r="X277" s="3016"/>
      <c r="Y277" s="3016"/>
      <c r="Z277" s="3016"/>
      <c r="AA277" s="3016"/>
      <c r="AB277" s="3016"/>
      <c r="AC277" s="3016"/>
      <c r="AD277" s="3153"/>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2"/>
      <c r="G278" s="3016"/>
      <c r="H278" s="3016"/>
      <c r="I278" s="3016"/>
      <c r="J278" s="3016"/>
      <c r="K278" s="3016"/>
      <c r="L278" s="3016"/>
      <c r="M278" s="3016"/>
      <c r="N278" s="3016"/>
      <c r="O278" s="3016"/>
      <c r="P278" s="3016"/>
      <c r="Q278" s="3016"/>
      <c r="R278" s="3016"/>
      <c r="S278" s="3016"/>
      <c r="T278" s="3016"/>
      <c r="U278" s="3016"/>
      <c r="V278" s="3016"/>
      <c r="W278" s="3016"/>
      <c r="X278" s="3016"/>
      <c r="Y278" s="3016"/>
      <c r="Z278" s="3016"/>
      <c r="AA278" s="3016"/>
      <c r="AB278" s="3016"/>
      <c r="AC278" s="3016"/>
      <c r="AD278" s="3153"/>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52" t="s">
        <v>1670</v>
      </c>
      <c r="G279" s="3016"/>
      <c r="H279" s="3016"/>
      <c r="I279" s="3016"/>
      <c r="J279" s="3016"/>
      <c r="K279" s="3016"/>
      <c r="L279" s="3016"/>
      <c r="M279" s="3016"/>
      <c r="N279" s="3016"/>
      <c r="O279" s="3016"/>
      <c r="P279" s="3016"/>
      <c r="Q279" s="3016"/>
      <c r="R279" s="3016"/>
      <c r="S279" s="3016"/>
      <c r="T279" s="3016"/>
      <c r="U279" s="3016"/>
      <c r="V279" s="3016"/>
      <c r="W279" s="3016"/>
      <c r="X279" s="3016"/>
      <c r="Y279" s="3016"/>
      <c r="Z279" s="3016"/>
      <c r="AA279" s="3016"/>
      <c r="AB279" s="3016"/>
      <c r="AC279" s="3016"/>
      <c r="AD279" s="3153"/>
      <c r="AE279" s="1080"/>
      <c r="AF279" s="946"/>
      <c r="AG279" s="946"/>
      <c r="AH279" s="946"/>
      <c r="AI279" s="946"/>
      <c r="AJ279" s="945"/>
      <c r="AK279" s="1028"/>
      <c r="AL279" s="1028"/>
      <c r="AM279" s="1028"/>
      <c r="AN279" s="110"/>
      <c r="AO279" s="51"/>
      <c r="AP279" s="1081">
        <f>MAX(AP275,AP276,AP277,AP278)</f>
        <v>20</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52"/>
      <c r="G280" s="3016"/>
      <c r="H280" s="3016"/>
      <c r="I280" s="3016"/>
      <c r="J280" s="3016"/>
      <c r="K280" s="3016"/>
      <c r="L280" s="3016"/>
      <c r="M280" s="3016"/>
      <c r="N280" s="3016"/>
      <c r="O280" s="3016"/>
      <c r="P280" s="3016"/>
      <c r="Q280" s="3016"/>
      <c r="R280" s="3016"/>
      <c r="S280" s="3016"/>
      <c r="T280" s="3016"/>
      <c r="U280" s="3016"/>
      <c r="V280" s="3016"/>
      <c r="W280" s="3016"/>
      <c r="X280" s="3016"/>
      <c r="Y280" s="3016"/>
      <c r="Z280" s="3016"/>
      <c r="AA280" s="3016"/>
      <c r="AB280" s="3016"/>
      <c r="AC280" s="3016"/>
      <c r="AD280" s="315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2" t="s">
        <v>1671</v>
      </c>
      <c r="G281" s="3016"/>
      <c r="H281" s="3016"/>
      <c r="I281" s="3016"/>
      <c r="J281" s="3016"/>
      <c r="K281" s="3016"/>
      <c r="L281" s="3016"/>
      <c r="M281" s="3016"/>
      <c r="N281" s="3016"/>
      <c r="O281" s="3016"/>
      <c r="P281" s="3016"/>
      <c r="Q281" s="3016"/>
      <c r="R281" s="3016"/>
      <c r="S281" s="3016"/>
      <c r="T281" s="3016"/>
      <c r="U281" s="3016"/>
      <c r="V281" s="3016"/>
      <c r="W281" s="3016"/>
      <c r="X281" s="3016"/>
      <c r="Y281" s="3016"/>
      <c r="Z281" s="3016"/>
      <c r="AA281" s="3016"/>
      <c r="AB281" s="3016"/>
      <c r="AC281" s="3016"/>
      <c r="AD281" s="315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4"/>
      <c r="G282" s="3155"/>
      <c r="H282" s="3155"/>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55"/>
      <c r="AD282" s="315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5" t="s">
        <v>1672</v>
      </c>
      <c r="B284" s="3135"/>
      <c r="C284" s="3010" t="s">
        <v>627</v>
      </c>
      <c r="D284" s="3010"/>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52" t="s">
        <v>1675</v>
      </c>
      <c r="G285" s="3016"/>
      <c r="H285" s="3016"/>
      <c r="I285" s="3016"/>
      <c r="J285" s="3016"/>
      <c r="K285" s="3016"/>
      <c r="L285" s="3016"/>
      <c r="M285" s="3016"/>
      <c r="N285" s="3016"/>
      <c r="O285" s="3016"/>
      <c r="P285" s="3016"/>
      <c r="Q285" s="3016"/>
      <c r="R285" s="3016"/>
      <c r="S285" s="3016"/>
      <c r="T285" s="3016"/>
      <c r="U285" s="3016"/>
      <c r="V285" s="3016"/>
      <c r="W285" s="3016"/>
      <c r="X285" s="3016"/>
      <c r="Y285" s="3016"/>
      <c r="Z285" s="3016"/>
      <c r="AA285" s="3016"/>
      <c r="AB285" s="3016"/>
      <c r="AC285" s="3016"/>
      <c r="AD285" s="3153"/>
      <c r="AE285" s="946"/>
      <c r="AF285" s="946"/>
      <c r="AG285" s="946"/>
      <c r="AH285" s="946"/>
      <c r="AI285" s="946"/>
      <c r="AJ285" s="945"/>
      <c r="AK285" s="1028"/>
      <c r="AL285" s="1028"/>
      <c r="AM285" s="1028"/>
      <c r="AR285" s="1088"/>
    </row>
    <row r="286" spans="1:53" ht="15" customHeight="1">
      <c r="A286" s="1062"/>
      <c r="B286" s="946"/>
      <c r="C286" s="945"/>
      <c r="D286" s="946"/>
      <c r="E286" s="945"/>
      <c r="F286" s="3152"/>
      <c r="G286" s="3016"/>
      <c r="H286" s="3016"/>
      <c r="I286" s="3016"/>
      <c r="J286" s="3016"/>
      <c r="K286" s="3016"/>
      <c r="L286" s="3016"/>
      <c r="M286" s="3016"/>
      <c r="N286" s="3016"/>
      <c r="O286" s="3016"/>
      <c r="P286" s="3016"/>
      <c r="Q286" s="3016"/>
      <c r="R286" s="3016"/>
      <c r="S286" s="3016"/>
      <c r="T286" s="3016"/>
      <c r="U286" s="3016"/>
      <c r="V286" s="3016"/>
      <c r="W286" s="3016"/>
      <c r="X286" s="3016"/>
      <c r="Y286" s="3016"/>
      <c r="Z286" s="3016"/>
      <c r="AA286" s="3016"/>
      <c r="AB286" s="3016"/>
      <c r="AC286" s="3016"/>
      <c r="AD286" s="3153"/>
      <c r="AE286" s="946"/>
      <c r="AF286" s="946"/>
      <c r="AG286" s="946"/>
      <c r="AH286" s="946"/>
      <c r="AI286" s="946"/>
      <c r="AJ286" s="945"/>
      <c r="AK286" s="1028"/>
      <c r="AL286" s="1028"/>
      <c r="AM286" s="1028"/>
      <c r="AR286" s="1088"/>
    </row>
    <row r="287" spans="1:53">
      <c r="A287" s="1062"/>
      <c r="B287" s="946"/>
      <c r="C287" s="945"/>
      <c r="D287" s="946"/>
      <c r="E287" s="945"/>
      <c r="F287" s="3152" t="s">
        <v>1670</v>
      </c>
      <c r="G287" s="3016"/>
      <c r="H287" s="3016"/>
      <c r="I287" s="3016"/>
      <c r="J287" s="3016"/>
      <c r="K287" s="3016"/>
      <c r="L287" s="3016"/>
      <c r="M287" s="3016"/>
      <c r="N287" s="3016"/>
      <c r="O287" s="3016"/>
      <c r="P287" s="3016"/>
      <c r="Q287" s="3016"/>
      <c r="R287" s="3016"/>
      <c r="S287" s="3016"/>
      <c r="T287" s="3016"/>
      <c r="U287" s="3016"/>
      <c r="V287" s="3016"/>
      <c r="W287" s="3016"/>
      <c r="X287" s="3016"/>
      <c r="Y287" s="3016"/>
      <c r="Z287" s="3016"/>
      <c r="AA287" s="3016"/>
      <c r="AB287" s="3016"/>
      <c r="AC287" s="3016"/>
      <c r="AD287" s="3153"/>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2"/>
      <c r="G288" s="3016"/>
      <c r="H288" s="3016"/>
      <c r="I288" s="3016"/>
      <c r="J288" s="3016"/>
      <c r="K288" s="3016"/>
      <c r="L288" s="3016"/>
      <c r="M288" s="3016"/>
      <c r="N288" s="3016"/>
      <c r="O288" s="3016"/>
      <c r="P288" s="3016"/>
      <c r="Q288" s="3016"/>
      <c r="R288" s="3016"/>
      <c r="S288" s="3016"/>
      <c r="T288" s="3016"/>
      <c r="U288" s="3016"/>
      <c r="V288" s="3016"/>
      <c r="W288" s="3016"/>
      <c r="X288" s="3016"/>
      <c r="Y288" s="3016"/>
      <c r="Z288" s="3016"/>
      <c r="AA288" s="3016"/>
      <c r="AB288" s="3016"/>
      <c r="AC288" s="3016"/>
      <c r="AD288" s="3153"/>
      <c r="AE288" s="946"/>
      <c r="AF288" s="946"/>
      <c r="AG288" s="946"/>
      <c r="AH288" s="946"/>
      <c r="AI288" s="946"/>
      <c r="AJ288" s="945"/>
      <c r="AK288" s="1028"/>
      <c r="AL288" s="1028"/>
      <c r="AM288" s="1028"/>
      <c r="AP288" s="1081"/>
      <c r="AQ288" s="970"/>
      <c r="AR288" s="1088"/>
    </row>
    <row r="289" spans="1:60">
      <c r="A289" s="1062"/>
      <c r="B289" s="946"/>
      <c r="C289" s="945"/>
      <c r="D289" s="946"/>
      <c r="E289" s="945"/>
      <c r="F289" s="3152" t="s">
        <v>1676</v>
      </c>
      <c r="G289" s="3016"/>
      <c r="H289" s="3016"/>
      <c r="I289" s="3016"/>
      <c r="J289" s="3016"/>
      <c r="K289" s="3016"/>
      <c r="L289" s="3016"/>
      <c r="M289" s="3016"/>
      <c r="N289" s="3016"/>
      <c r="O289" s="3016"/>
      <c r="P289" s="3016"/>
      <c r="Q289" s="3016"/>
      <c r="R289" s="3016"/>
      <c r="S289" s="3016"/>
      <c r="T289" s="3016"/>
      <c r="U289" s="3016"/>
      <c r="V289" s="3016"/>
      <c r="W289" s="3016"/>
      <c r="X289" s="3016"/>
      <c r="Y289" s="3016"/>
      <c r="Z289" s="3016"/>
      <c r="AA289" s="3016"/>
      <c r="AB289" s="3016"/>
      <c r="AC289" s="3016"/>
      <c r="AD289" s="3153"/>
      <c r="AE289" s="946"/>
      <c r="AF289" s="946"/>
      <c r="AG289" s="946"/>
      <c r="AH289" s="946"/>
      <c r="AI289" s="946"/>
      <c r="AJ289" s="945"/>
      <c r="AK289" s="1028"/>
      <c r="AL289" s="1028"/>
      <c r="AM289" s="1028"/>
      <c r="AP289" s="1081"/>
      <c r="AQ289" s="970"/>
      <c r="AR289" s="1088"/>
    </row>
    <row r="290" spans="1:60">
      <c r="A290" s="1062"/>
      <c r="B290" s="946"/>
      <c r="C290" s="945"/>
      <c r="D290" s="946"/>
      <c r="E290" s="945"/>
      <c r="F290" s="3154"/>
      <c r="G290" s="3155"/>
      <c r="H290" s="3155"/>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55"/>
      <c r="AD290" s="315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5" t="s">
        <v>1677</v>
      </c>
      <c r="B292" s="3135"/>
      <c r="C292" s="3010" t="s">
        <v>627</v>
      </c>
      <c r="D292" s="3010"/>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152" t="s">
        <v>1678</v>
      </c>
      <c r="G293" s="3016"/>
      <c r="H293" s="3016"/>
      <c r="I293" s="3016"/>
      <c r="J293" s="3016"/>
      <c r="K293" s="3016"/>
      <c r="L293" s="3016"/>
      <c r="M293" s="3016"/>
      <c r="N293" s="3016"/>
      <c r="O293" s="3016"/>
      <c r="P293" s="3016"/>
      <c r="Q293" s="3016"/>
      <c r="R293" s="3016"/>
      <c r="S293" s="3016"/>
      <c r="T293" s="3016"/>
      <c r="U293" s="3016"/>
      <c r="V293" s="3016"/>
      <c r="W293" s="3016"/>
      <c r="X293" s="3016"/>
      <c r="Y293" s="3016"/>
      <c r="Z293" s="3016"/>
      <c r="AA293" s="3016"/>
      <c r="AB293" s="3016"/>
      <c r="AC293" s="3016"/>
      <c r="AD293" s="3153"/>
      <c r="AE293" s="946"/>
      <c r="AF293" s="946"/>
      <c r="AG293" s="1014"/>
      <c r="AH293" s="946"/>
      <c r="AI293" s="946"/>
      <c r="AJ293" s="945"/>
      <c r="AK293" s="1028"/>
      <c r="AL293" s="1028"/>
      <c r="AM293" s="1028"/>
      <c r="AN293" s="110"/>
      <c r="AO293" s="51"/>
      <c r="AP293" s="952" t="s">
        <v>1387</v>
      </c>
      <c r="AR293" s="21"/>
    </row>
    <row r="294" spans="1:60" s="21" customFormat="1">
      <c r="F294" s="3152"/>
      <c r="G294" s="3016"/>
      <c r="H294" s="3016"/>
      <c r="I294" s="3016"/>
      <c r="J294" s="3016"/>
      <c r="K294" s="3016"/>
      <c r="L294" s="3016"/>
      <c r="M294" s="3016"/>
      <c r="N294" s="3016"/>
      <c r="O294" s="3016"/>
      <c r="P294" s="3016"/>
      <c r="Q294" s="3016"/>
      <c r="R294" s="3016"/>
      <c r="S294" s="3016"/>
      <c r="T294" s="3016"/>
      <c r="U294" s="3016"/>
      <c r="V294" s="3016"/>
      <c r="W294" s="3016"/>
      <c r="X294" s="3016"/>
      <c r="Y294" s="3016"/>
      <c r="Z294" s="3016"/>
      <c r="AA294" s="3016"/>
      <c r="AB294" s="3016"/>
      <c r="AC294" s="3016"/>
      <c r="AD294" s="3153"/>
      <c r="AE294" s="946"/>
      <c r="AF294" s="946"/>
      <c r="AH294" s="946"/>
      <c r="AI294" s="946"/>
      <c r="AJ294" s="1091"/>
      <c r="AK294" s="1062"/>
      <c r="AL294" s="1062"/>
      <c r="AM294" s="1062"/>
      <c r="AN294" s="1092"/>
      <c r="AP294" s="1093" t="s">
        <v>2242</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2244</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2447</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2" t="s">
        <v>1387</v>
      </c>
      <c r="G298" s="3143"/>
      <c r="H298" s="3143"/>
      <c r="I298" s="3143"/>
      <c r="J298" s="3143"/>
      <c r="K298" s="3143"/>
      <c r="L298" s="3143"/>
      <c r="M298" s="3143"/>
      <c r="N298" s="3143"/>
      <c r="O298" s="3143"/>
      <c r="P298" s="3143"/>
      <c r="Q298" s="3143"/>
      <c r="R298" s="3143"/>
      <c r="S298" s="3143"/>
      <c r="T298" s="3143"/>
      <c r="U298" s="3143"/>
      <c r="V298" s="3143"/>
      <c r="W298" s="3143"/>
      <c r="X298" s="3143"/>
      <c r="Y298" s="3143"/>
      <c r="Z298" s="3143"/>
      <c r="AA298" s="3143"/>
      <c r="AB298" s="3143"/>
      <c r="AC298" s="3143"/>
      <c r="AD298" s="3144"/>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2"/>
      <c r="G299" s="3143"/>
      <c r="H299" s="3143"/>
      <c r="I299" s="3143"/>
      <c r="J299" s="3143"/>
      <c r="K299" s="3143"/>
      <c r="L299" s="3143"/>
      <c r="M299" s="3143"/>
      <c r="N299" s="3143"/>
      <c r="O299" s="3143"/>
      <c r="P299" s="3143"/>
      <c r="Q299" s="3143"/>
      <c r="R299" s="3143"/>
      <c r="S299" s="3143"/>
      <c r="T299" s="3143"/>
      <c r="U299" s="3143"/>
      <c r="V299" s="3143"/>
      <c r="W299" s="3143"/>
      <c r="X299" s="3143"/>
      <c r="Y299" s="3143"/>
      <c r="Z299" s="3143"/>
      <c r="AA299" s="3143"/>
      <c r="AB299" s="3143"/>
      <c r="AC299" s="3143"/>
      <c r="AD299" s="3144"/>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2"/>
      <c r="G300" s="3143"/>
      <c r="H300" s="3143"/>
      <c r="I300" s="3143"/>
      <c r="J300" s="3143"/>
      <c r="K300" s="3143"/>
      <c r="L300" s="3143"/>
      <c r="M300" s="3143"/>
      <c r="N300" s="3143"/>
      <c r="O300" s="3143"/>
      <c r="P300" s="3143"/>
      <c r="Q300" s="3143"/>
      <c r="R300" s="3143"/>
      <c r="S300" s="3143"/>
      <c r="T300" s="3143"/>
      <c r="U300" s="3143"/>
      <c r="V300" s="3143"/>
      <c r="W300" s="3143"/>
      <c r="X300" s="3143"/>
      <c r="Y300" s="3143"/>
      <c r="Z300" s="3143"/>
      <c r="AA300" s="3143"/>
      <c r="AB300" s="3143"/>
      <c r="AC300" s="3143"/>
      <c r="AD300" s="3144"/>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2"/>
      <c r="G301" s="3143"/>
      <c r="H301" s="3143"/>
      <c r="I301" s="3143"/>
      <c r="J301" s="3143"/>
      <c r="K301" s="3143"/>
      <c r="L301" s="3143"/>
      <c r="M301" s="3143"/>
      <c r="N301" s="3143"/>
      <c r="O301" s="3143"/>
      <c r="P301" s="3143"/>
      <c r="Q301" s="3143"/>
      <c r="R301" s="3143"/>
      <c r="S301" s="3143"/>
      <c r="T301" s="3143"/>
      <c r="U301" s="3143"/>
      <c r="V301" s="3143"/>
      <c r="W301" s="3143"/>
      <c r="X301" s="3143"/>
      <c r="Y301" s="3143"/>
      <c r="Z301" s="3143"/>
      <c r="AA301" s="3143"/>
      <c r="AB301" s="3143"/>
      <c r="AC301" s="3143"/>
      <c r="AD301" s="3144"/>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5"/>
      <c r="G302" s="3146"/>
      <c r="H302" s="3146"/>
      <c r="I302" s="3146"/>
      <c r="J302" s="3146"/>
      <c r="K302" s="3146"/>
      <c r="L302" s="3146"/>
      <c r="M302" s="3146"/>
      <c r="N302" s="3146"/>
      <c r="O302" s="3146"/>
      <c r="P302" s="3146"/>
      <c r="Q302" s="3146"/>
      <c r="R302" s="3146"/>
      <c r="S302" s="3146"/>
      <c r="T302" s="3146"/>
      <c r="U302" s="3146"/>
      <c r="V302" s="3146"/>
      <c r="W302" s="3146"/>
      <c r="X302" s="3146"/>
      <c r="Y302" s="3146"/>
      <c r="Z302" s="3146"/>
      <c r="AA302" s="3146"/>
      <c r="AB302" s="3146"/>
      <c r="AC302" s="3146"/>
      <c r="AD302" s="3147"/>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2243</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48" t="s">
        <v>1387</v>
      </c>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48"/>
      <c r="AD306" s="3149"/>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48"/>
      <c r="AD307" s="3149"/>
      <c r="AE307" s="946"/>
      <c r="AF307" s="946"/>
      <c r="AG307" s="988"/>
      <c r="AH307" s="946"/>
      <c r="AI307" s="946"/>
      <c r="AJ307" s="945"/>
      <c r="AK307" s="1028"/>
      <c r="AL307" s="1028"/>
      <c r="AM307" s="1028"/>
      <c r="AN307" s="110"/>
      <c r="AO307" s="51"/>
      <c r="AP307" s="952" t="s">
        <v>2245</v>
      </c>
      <c r="AR307" s="21"/>
    </row>
    <row r="308" spans="1:60">
      <c r="A308" s="1062"/>
      <c r="B308" s="946"/>
      <c r="C308" s="1095"/>
      <c r="D308" s="1095"/>
      <c r="E308" s="942"/>
      <c r="F308" s="1100"/>
      <c r="G308" s="971"/>
      <c r="H308" s="971"/>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48"/>
      <c r="AD308" s="3149"/>
      <c r="AE308" s="946"/>
      <c r="AF308" s="946"/>
      <c r="AG308" s="988"/>
      <c r="AH308" s="946"/>
      <c r="AI308" s="946"/>
      <c r="AJ308" s="945"/>
      <c r="AK308" s="1028"/>
      <c r="AL308" s="1028"/>
      <c r="AM308" s="1028"/>
      <c r="AN308" s="110"/>
      <c r="AO308" s="51"/>
      <c r="AP308" s="952" t="s">
        <v>2247</v>
      </c>
      <c r="AR308" s="21"/>
    </row>
    <row r="309" spans="1:60">
      <c r="A309" s="1062"/>
      <c r="B309" s="946"/>
      <c r="C309" s="1095"/>
      <c r="D309" s="1095"/>
      <c r="E309" s="942"/>
      <c r="F309" s="1098"/>
      <c r="G309" s="946"/>
      <c r="H309" s="946"/>
      <c r="I309" s="3150"/>
      <c r="J309" s="3150"/>
      <c r="K309" s="3150"/>
      <c r="L309" s="3150"/>
      <c r="M309" s="3150"/>
      <c r="N309" s="3150"/>
      <c r="O309" s="3150"/>
      <c r="P309" s="3150"/>
      <c r="Q309" s="3150"/>
      <c r="R309" s="3150"/>
      <c r="S309" s="3150"/>
      <c r="T309" s="3150"/>
      <c r="U309" s="3150"/>
      <c r="V309" s="3150"/>
      <c r="W309" s="3150"/>
      <c r="X309" s="3150"/>
      <c r="Y309" s="3150"/>
      <c r="Z309" s="3150"/>
      <c r="AA309" s="3150"/>
      <c r="AB309" s="3150"/>
      <c r="AC309" s="3150"/>
      <c r="AD309" s="3151"/>
      <c r="AE309" s="946"/>
      <c r="AF309" s="946"/>
      <c r="AG309" s="988"/>
      <c r="AH309" s="946"/>
      <c r="AI309" s="946"/>
      <c r="AJ309" s="945"/>
      <c r="AK309" s="1028"/>
      <c r="AL309" s="1028"/>
      <c r="AM309" s="1028"/>
      <c r="AN309" s="110"/>
      <c r="AO309" s="51"/>
      <c r="AP309" s="952" t="s">
        <v>2246</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8" t="s">
        <v>1387</v>
      </c>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48"/>
      <c r="AD311" s="314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48"/>
      <c r="AD312" s="3149"/>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50"/>
      <c r="J313" s="3150"/>
      <c r="K313" s="3150"/>
      <c r="L313" s="3150"/>
      <c r="M313" s="3150"/>
      <c r="N313" s="3150"/>
      <c r="O313" s="3150"/>
      <c r="P313" s="3150"/>
      <c r="Q313" s="3150"/>
      <c r="R313" s="3150"/>
      <c r="S313" s="3150"/>
      <c r="T313" s="3150"/>
      <c r="U313" s="3150"/>
      <c r="V313" s="3150"/>
      <c r="W313" s="3150"/>
      <c r="X313" s="3150"/>
      <c r="Y313" s="3150"/>
      <c r="Z313" s="3150"/>
      <c r="AA313" s="3150"/>
      <c r="AB313" s="3150"/>
      <c r="AC313" s="3150"/>
      <c r="AD313" s="3151"/>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35" t="s">
        <v>1681</v>
      </c>
      <c r="B315" s="3135"/>
      <c r="C315" s="3010" t="s">
        <v>627</v>
      </c>
      <c r="D315" s="3010"/>
      <c r="E315" s="942"/>
      <c r="F315" s="3136" t="s">
        <v>1682</v>
      </c>
      <c r="G315" s="3137"/>
      <c r="H315" s="3137"/>
      <c r="I315" s="3137"/>
      <c r="J315" s="3137"/>
      <c r="K315" s="3137"/>
      <c r="L315" s="3137"/>
      <c r="M315" s="3137"/>
      <c r="N315" s="3137"/>
      <c r="O315" s="3137"/>
      <c r="P315" s="3137"/>
      <c r="Q315" s="3137"/>
      <c r="R315" s="3137"/>
      <c r="S315" s="3137"/>
      <c r="T315" s="3137"/>
      <c r="U315" s="3137"/>
      <c r="V315" s="3137"/>
      <c r="W315" s="3137"/>
      <c r="X315" s="3137"/>
      <c r="Y315" s="3137"/>
      <c r="Z315" s="3137"/>
      <c r="AA315" s="3137"/>
      <c r="AB315" s="3137"/>
      <c r="AC315" s="3137"/>
      <c r="AD315" s="3138"/>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139"/>
      <c r="G316" s="3140"/>
      <c r="H316" s="3140"/>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40"/>
      <c r="AD316" s="3141"/>
      <c r="AE316" s="946"/>
      <c r="AF316" s="946"/>
      <c r="AG316" s="946"/>
      <c r="AH316" s="946"/>
      <c r="AI316" s="946"/>
      <c r="AJ316" s="945"/>
      <c r="AK316" s="1028"/>
      <c r="AL316" s="1028"/>
      <c r="AM316" s="1028"/>
      <c r="AN316" s="110"/>
      <c r="AO316" s="51"/>
    </row>
    <row r="317" spans="1:60" ht="15" customHeight="1">
      <c r="A317" s="1062"/>
      <c r="B317" s="946"/>
      <c r="C317" s="946"/>
      <c r="D317" s="946"/>
      <c r="E317" s="946"/>
      <c r="F317" s="3139"/>
      <c r="G317" s="3140"/>
      <c r="H317" s="3140"/>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40"/>
      <c r="AD317" s="314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14">
        <f>AP279</f>
        <v>20</v>
      </c>
      <c r="AL320" s="3036"/>
      <c r="AM320" s="3015"/>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0" t="s">
        <v>1598</v>
      </c>
      <c r="AF323" s="3090"/>
      <c r="AG323" s="3090"/>
      <c r="AH323" s="3090"/>
      <c r="AI323" s="3090"/>
      <c r="AJ323" s="3090"/>
      <c r="AK323" s="3090"/>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6" t="s">
        <v>2205</v>
      </c>
      <c r="C325" s="3016"/>
      <c r="D325" s="3016"/>
      <c r="E325" s="3016"/>
      <c r="F325" s="3016"/>
      <c r="G325" s="3016"/>
      <c r="H325" s="3016"/>
      <c r="I325" s="3016"/>
      <c r="J325" s="3016"/>
      <c r="K325" s="3016"/>
      <c r="L325" s="3016"/>
      <c r="M325" s="3016"/>
      <c r="N325" s="3016"/>
      <c r="O325" s="3016"/>
      <c r="P325" s="3016"/>
      <c r="Q325" s="3016"/>
      <c r="R325" s="3016"/>
      <c r="S325" s="3016"/>
      <c r="T325" s="3016"/>
      <c r="U325" s="3016"/>
      <c r="V325" s="3016"/>
      <c r="W325" s="3016"/>
      <c r="X325" s="3016"/>
      <c r="Y325" s="3016"/>
      <c r="Z325" s="3016"/>
      <c r="AA325" s="3016"/>
      <c r="AB325" s="3016"/>
      <c r="AC325" s="3016"/>
      <c r="AD325" s="3016"/>
      <c r="AE325" s="3016"/>
      <c r="AF325" s="3016"/>
      <c r="AG325" s="3016"/>
      <c r="AH325" s="3016"/>
      <c r="AI325" s="3016"/>
      <c r="AJ325" s="3016"/>
      <c r="AK325" s="1080"/>
      <c r="AL325" s="969"/>
      <c r="AM325" s="1029"/>
      <c r="AN325" s="1002"/>
    </row>
    <row r="326" spans="1:42" s="945" customFormat="1" ht="12.75" customHeight="1">
      <c r="A326" s="1029"/>
      <c r="B326" s="3016"/>
      <c r="C326" s="3016"/>
      <c r="D326" s="3016"/>
      <c r="E326" s="3016"/>
      <c r="F326" s="3016"/>
      <c r="G326" s="3016"/>
      <c r="H326" s="3016"/>
      <c r="I326" s="3016"/>
      <c r="J326" s="3016"/>
      <c r="K326" s="3016"/>
      <c r="L326" s="3016"/>
      <c r="M326" s="3016"/>
      <c r="N326" s="3016"/>
      <c r="O326" s="3016"/>
      <c r="P326" s="3016"/>
      <c r="Q326" s="3016"/>
      <c r="R326" s="3016"/>
      <c r="S326" s="3016"/>
      <c r="T326" s="3016"/>
      <c r="U326" s="3016"/>
      <c r="V326" s="3016"/>
      <c r="W326" s="3016"/>
      <c r="X326" s="3016"/>
      <c r="Y326" s="3016"/>
      <c r="Z326" s="3016"/>
      <c r="AA326" s="3016"/>
      <c r="AB326" s="3016"/>
      <c r="AC326" s="3016"/>
      <c r="AD326" s="3016"/>
      <c r="AE326" s="3016"/>
      <c r="AF326" s="3016"/>
      <c r="AG326" s="3016"/>
      <c r="AH326" s="3016"/>
      <c r="AI326" s="3016"/>
      <c r="AJ326" s="3016"/>
      <c r="AK326" s="1080"/>
      <c r="AL326" s="969"/>
      <c r="AM326" s="1029"/>
      <c r="AN326" s="1002"/>
    </row>
    <row r="327" spans="1:42" s="945" customFormat="1" ht="12.75" customHeight="1">
      <c r="A327" s="1029"/>
      <c r="B327" s="3016"/>
      <c r="C327" s="3016"/>
      <c r="D327" s="3016"/>
      <c r="E327" s="3016"/>
      <c r="F327" s="3016"/>
      <c r="G327" s="3016"/>
      <c r="H327" s="3016"/>
      <c r="I327" s="3016"/>
      <c r="J327" s="3016"/>
      <c r="K327" s="3016"/>
      <c r="L327" s="3016"/>
      <c r="M327" s="3016"/>
      <c r="N327" s="3016"/>
      <c r="O327" s="3016"/>
      <c r="P327" s="3016"/>
      <c r="Q327" s="3016"/>
      <c r="R327" s="3016"/>
      <c r="S327" s="3016"/>
      <c r="T327" s="3016"/>
      <c r="U327" s="3016"/>
      <c r="V327" s="3016"/>
      <c r="W327" s="3016"/>
      <c r="X327" s="3016"/>
      <c r="Y327" s="3016"/>
      <c r="Z327" s="3016"/>
      <c r="AA327" s="3016"/>
      <c r="AB327" s="3016"/>
      <c r="AC327" s="3016"/>
      <c r="AD327" s="3016"/>
      <c r="AE327" s="3016"/>
      <c r="AF327" s="3016"/>
      <c r="AG327" s="3016"/>
      <c r="AH327" s="3016"/>
      <c r="AI327" s="3016"/>
      <c r="AJ327" s="3016"/>
      <c r="AK327" s="1080"/>
      <c r="AL327" s="969"/>
      <c r="AM327" s="1029"/>
      <c r="AN327" s="1002"/>
    </row>
    <row r="328" spans="1:42" s="945" customFormat="1" ht="12.75" customHeight="1">
      <c r="A328" s="1029"/>
      <c r="B328" s="3016"/>
      <c r="C328" s="3016"/>
      <c r="D328" s="3016"/>
      <c r="E328" s="3016"/>
      <c r="F328" s="3016"/>
      <c r="G328" s="3016"/>
      <c r="H328" s="3016"/>
      <c r="I328" s="3016"/>
      <c r="J328" s="3016"/>
      <c r="K328" s="3016"/>
      <c r="L328" s="3016"/>
      <c r="M328" s="3016"/>
      <c r="N328" s="3016"/>
      <c r="O328" s="3016"/>
      <c r="P328" s="3016"/>
      <c r="Q328" s="3016"/>
      <c r="R328" s="3016"/>
      <c r="S328" s="3016"/>
      <c r="T328" s="3016"/>
      <c r="U328" s="3016"/>
      <c r="V328" s="3016"/>
      <c r="W328" s="3016"/>
      <c r="X328" s="3016"/>
      <c r="Y328" s="3016"/>
      <c r="Z328" s="3016"/>
      <c r="AA328" s="3016"/>
      <c r="AB328" s="3016"/>
      <c r="AC328" s="3016"/>
      <c r="AD328" s="3016"/>
      <c r="AE328" s="3016"/>
      <c r="AF328" s="3016"/>
      <c r="AG328" s="3016"/>
      <c r="AH328" s="3016"/>
      <c r="AI328" s="3016"/>
      <c r="AJ328" s="3016"/>
      <c r="AK328" s="1080"/>
      <c r="AL328" s="969"/>
      <c r="AM328" s="1029"/>
      <c r="AN328" s="1002"/>
    </row>
    <row r="329" spans="1:42" s="945" customFormat="1" ht="12.75" customHeight="1">
      <c r="A329" s="1029"/>
      <c r="B329" s="3016"/>
      <c r="C329" s="3016"/>
      <c r="D329" s="3016"/>
      <c r="E329" s="3016"/>
      <c r="F329" s="3016"/>
      <c r="G329" s="3016"/>
      <c r="H329" s="3016"/>
      <c r="I329" s="3016"/>
      <c r="J329" s="3016"/>
      <c r="K329" s="3016"/>
      <c r="L329" s="3016"/>
      <c r="M329" s="3016"/>
      <c r="N329" s="3016"/>
      <c r="O329" s="3016"/>
      <c r="P329" s="3016"/>
      <c r="Q329" s="3016"/>
      <c r="R329" s="3016"/>
      <c r="S329" s="3016"/>
      <c r="T329" s="3016"/>
      <c r="U329" s="3016"/>
      <c r="V329" s="3016"/>
      <c r="W329" s="3016"/>
      <c r="X329" s="3016"/>
      <c r="Y329" s="3016"/>
      <c r="Z329" s="3016"/>
      <c r="AA329" s="3016"/>
      <c r="AB329" s="3016"/>
      <c r="AC329" s="3016"/>
      <c r="AD329" s="3016"/>
      <c r="AE329" s="3016"/>
      <c r="AF329" s="3016"/>
      <c r="AG329" s="3016"/>
      <c r="AH329" s="3016"/>
      <c r="AI329" s="3016"/>
      <c r="AJ329" s="3016"/>
      <c r="AK329" s="1080"/>
      <c r="AL329" s="969"/>
      <c r="AM329" s="1029"/>
      <c r="AN329" s="1002"/>
    </row>
    <row r="330" spans="1:42" s="945" customFormat="1" ht="12.75" customHeight="1">
      <c r="A330" s="1029"/>
      <c r="B330" s="3016"/>
      <c r="C330" s="3016"/>
      <c r="D330" s="3016"/>
      <c r="E330" s="3016"/>
      <c r="F330" s="3016"/>
      <c r="G330" s="3016"/>
      <c r="H330" s="3016"/>
      <c r="I330" s="3016"/>
      <c r="J330" s="3016"/>
      <c r="K330" s="3016"/>
      <c r="L330" s="3016"/>
      <c r="M330" s="3016"/>
      <c r="N330" s="3016"/>
      <c r="O330" s="3016"/>
      <c r="P330" s="3016"/>
      <c r="Q330" s="3016"/>
      <c r="R330" s="3016"/>
      <c r="S330" s="3016"/>
      <c r="T330" s="3016"/>
      <c r="U330" s="3016"/>
      <c r="V330" s="3016"/>
      <c r="W330" s="3016"/>
      <c r="X330" s="3016"/>
      <c r="Y330" s="3016"/>
      <c r="Z330" s="3016"/>
      <c r="AA330" s="3016"/>
      <c r="AB330" s="3016"/>
      <c r="AC330" s="3016"/>
      <c r="AD330" s="3016"/>
      <c r="AE330" s="3016"/>
      <c r="AF330" s="3016"/>
      <c r="AG330" s="3016"/>
      <c r="AH330" s="3016"/>
      <c r="AI330" s="3016"/>
      <c r="AJ330" s="3016"/>
      <c r="AK330" s="1080"/>
      <c r="AL330" s="969"/>
      <c r="AM330" s="1029"/>
      <c r="AN330" s="1002"/>
    </row>
    <row r="331" spans="1:42" s="945" customFormat="1" ht="12.75" customHeight="1">
      <c r="A331" s="1029"/>
      <c r="B331" s="3016"/>
      <c r="C331" s="3016"/>
      <c r="D331" s="3016"/>
      <c r="E331" s="3016"/>
      <c r="F331" s="3016"/>
      <c r="G331" s="3016"/>
      <c r="H331" s="3016"/>
      <c r="I331" s="3016"/>
      <c r="J331" s="3016"/>
      <c r="K331" s="3016"/>
      <c r="L331" s="3016"/>
      <c r="M331" s="3016"/>
      <c r="N331" s="3016"/>
      <c r="O331" s="3016"/>
      <c r="P331" s="3016"/>
      <c r="Q331" s="3016"/>
      <c r="R331" s="3016"/>
      <c r="S331" s="3016"/>
      <c r="T331" s="3016"/>
      <c r="U331" s="3016"/>
      <c r="V331" s="3016"/>
      <c r="W331" s="3016"/>
      <c r="X331" s="3016"/>
      <c r="Y331" s="3016"/>
      <c r="Z331" s="3016"/>
      <c r="AA331" s="3016"/>
      <c r="AB331" s="3016"/>
      <c r="AC331" s="3016"/>
      <c r="AD331" s="3016"/>
      <c r="AE331" s="3016"/>
      <c r="AF331" s="3016"/>
      <c r="AG331" s="3016"/>
      <c r="AH331" s="3016"/>
      <c r="AI331" s="3016"/>
      <c r="AJ331" s="3016"/>
      <c r="AK331" s="1080"/>
      <c r="AL331" s="969"/>
      <c r="AM331" s="1029"/>
      <c r="AN331" s="1002"/>
    </row>
    <row r="332" spans="1:42" ht="12.75" customHeight="1">
      <c r="A332" s="1029"/>
      <c r="B332" s="3016"/>
      <c r="C332" s="3016"/>
      <c r="D332" s="3016"/>
      <c r="E332" s="3016"/>
      <c r="F332" s="3016"/>
      <c r="G332" s="3016"/>
      <c r="H332" s="3016"/>
      <c r="I332" s="3016"/>
      <c r="J332" s="3016"/>
      <c r="K332" s="3016"/>
      <c r="L332" s="3016"/>
      <c r="M332" s="3016"/>
      <c r="N332" s="3016"/>
      <c r="O332" s="3016"/>
      <c r="P332" s="3016"/>
      <c r="Q332" s="3016"/>
      <c r="R332" s="3016"/>
      <c r="S332" s="3016"/>
      <c r="T332" s="3016"/>
      <c r="U332" s="3016"/>
      <c r="V332" s="3016"/>
      <c r="W332" s="3016"/>
      <c r="X332" s="3016"/>
      <c r="Y332" s="3016"/>
      <c r="Z332" s="3016"/>
      <c r="AA332" s="3016"/>
      <c r="AB332" s="3016"/>
      <c r="AC332" s="3016"/>
      <c r="AD332" s="3016"/>
      <c r="AE332" s="3016"/>
      <c r="AF332" s="3016"/>
      <c r="AG332" s="3016"/>
      <c r="AH332" s="3016"/>
      <c r="AI332" s="3016"/>
      <c r="AJ332" s="3016"/>
      <c r="AK332" s="1080"/>
      <c r="AL332" s="969"/>
      <c r="AM332" s="1029"/>
    </row>
    <row r="333" spans="1:42" s="945" customFormat="1" ht="12.75" customHeight="1">
      <c r="A333" s="1062"/>
      <c r="B333" s="3016"/>
      <c r="C333" s="3016"/>
      <c r="D333" s="3016"/>
      <c r="E333" s="3016"/>
      <c r="F333" s="3016"/>
      <c r="G333" s="3016"/>
      <c r="H333" s="3016"/>
      <c r="I333" s="3016"/>
      <c r="J333" s="3016"/>
      <c r="K333" s="3016"/>
      <c r="L333" s="3016"/>
      <c r="M333" s="3016"/>
      <c r="N333" s="3016"/>
      <c r="O333" s="3016"/>
      <c r="P333" s="3016"/>
      <c r="Q333" s="3016"/>
      <c r="R333" s="3016"/>
      <c r="S333" s="3016"/>
      <c r="T333" s="3016"/>
      <c r="U333" s="3016"/>
      <c r="V333" s="3016"/>
      <c r="W333" s="3016"/>
      <c r="X333" s="3016"/>
      <c r="Y333" s="3016"/>
      <c r="Z333" s="3016"/>
      <c r="AA333" s="3016"/>
      <c r="AB333" s="3016"/>
      <c r="AC333" s="3016"/>
      <c r="AD333" s="3016"/>
      <c r="AE333" s="3016"/>
      <c r="AF333" s="3016"/>
      <c r="AG333" s="3016"/>
      <c r="AH333" s="3016"/>
      <c r="AI333" s="3016"/>
      <c r="AJ333" s="3016"/>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2210</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6" t="s">
        <v>1622</v>
      </c>
      <c r="AG339" s="3126"/>
      <c r="AH339" s="3126"/>
      <c r="AI339" s="3126"/>
      <c r="AJ339" s="3126"/>
      <c r="AK339" s="3126"/>
      <c r="AL339" s="3126"/>
      <c r="AM339" s="1028"/>
      <c r="AN339" s="1002"/>
    </row>
    <row r="340" spans="1:42" s="945" customFormat="1" ht="12.75" customHeight="1">
      <c r="A340" s="1028"/>
      <c r="B340" s="1008"/>
      <c r="C340" s="1037"/>
      <c r="D340" s="1108"/>
      <c r="E340" s="1640" t="s">
        <v>2211</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2212</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2213</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2214</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2215</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2216</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6" t="s">
        <v>1688</v>
      </c>
      <c r="AG346" s="3126"/>
      <c r="AH346" s="3126"/>
      <c r="AI346" s="3126"/>
      <c r="AJ346" s="3126"/>
      <c r="AK346" s="3126"/>
      <c r="AL346" s="3126"/>
      <c r="AM346" s="1028"/>
      <c r="AN346" s="1002"/>
    </row>
    <row r="347" spans="1:42" s="945" customFormat="1" ht="12.75" customHeight="1">
      <c r="A347" s="1062"/>
      <c r="B347" s="1025"/>
      <c r="C347" s="1643"/>
      <c r="D347" s="1108"/>
      <c r="E347" s="1640" t="s">
        <v>2217</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2218</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2220</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2219</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2221</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6" t="s">
        <v>1662</v>
      </c>
      <c r="AG352" s="3126"/>
      <c r="AH352" s="3126"/>
      <c r="AI352" s="3126"/>
      <c r="AJ352" s="3126"/>
      <c r="AK352" s="3126"/>
      <c r="AL352" s="3126"/>
      <c r="AM352" s="1028"/>
      <c r="AN352" s="1002"/>
      <c r="AO352" s="1120" t="s">
        <v>1690</v>
      </c>
      <c r="AP352" s="945">
        <v>3</v>
      </c>
    </row>
    <row r="353" spans="1:53" s="945" customFormat="1" ht="12.75" customHeight="1">
      <c r="A353" s="1062"/>
      <c r="B353" s="1025"/>
      <c r="C353" s="1643"/>
      <c r="D353" s="1108"/>
      <c r="E353" s="1640" t="s">
        <v>2217</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2218</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2220</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2219</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2222</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6" t="s">
        <v>1691</v>
      </c>
      <c r="AG358" s="3126"/>
      <c r="AH358" s="3126"/>
      <c r="AI358" s="3126"/>
      <c r="AJ358" s="3126"/>
      <c r="AK358" s="3126"/>
      <c r="AL358" s="3126"/>
      <c r="AM358" s="1028"/>
      <c r="AN358" s="1002"/>
      <c r="AO358" s="945" t="str">
        <f>X395</f>
        <v>N/A</v>
      </c>
    </row>
    <row r="359" spans="1:53" s="945" customFormat="1" ht="12.75" customHeight="1">
      <c r="A359" s="1062"/>
      <c r="B359" s="1025"/>
      <c r="C359" s="1643"/>
      <c r="D359" s="1108"/>
      <c r="E359" s="1640" t="s">
        <v>2223</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2224</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2459</v>
      </c>
      <c r="O362" s="3134" t="s">
        <v>1387</v>
      </c>
      <c r="P362" s="3134"/>
      <c r="Q362" s="3134"/>
      <c r="R362" s="3134"/>
      <c r="S362" s="3134"/>
      <c r="T362" s="3134"/>
      <c r="U362" s="3134"/>
      <c r="V362" s="3134"/>
      <c r="W362" s="3134"/>
      <c r="X362" s="3134"/>
      <c r="Y362" s="3134"/>
      <c r="Z362" s="3134"/>
      <c r="AA362" s="3134"/>
      <c r="AB362" s="3134"/>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2226</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6" t="s">
        <v>1636</v>
      </c>
      <c r="AG364" s="3126"/>
      <c r="AH364" s="3126"/>
      <c r="AI364" s="3126"/>
      <c r="AJ364" s="3126"/>
      <c r="AK364" s="3126"/>
      <c r="AL364" s="3126"/>
      <c r="AM364" s="1028"/>
      <c r="AN364" s="1003"/>
    </row>
    <row r="365" spans="1:53" s="945" customFormat="1" ht="12.75" customHeight="1">
      <c r="A365" s="1062"/>
      <c r="B365" s="1008"/>
      <c r="C365" s="1641"/>
      <c r="D365" s="1108"/>
      <c r="E365" s="1640" t="s">
        <v>2225</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013" t="s">
        <v>627</v>
      </c>
      <c r="I367" s="301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2227</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2228</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2229</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2230</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33" t="s">
        <v>627</v>
      </c>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33"/>
      <c r="AD375" s="3133"/>
      <c r="AE375" s="3133"/>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131" t="s">
        <v>627</v>
      </c>
      <c r="C377" s="3131"/>
      <c r="D377" s="1648"/>
      <c r="E377" s="3016" t="s">
        <v>1695</v>
      </c>
      <c r="F377" s="3016"/>
      <c r="G377" s="3016"/>
      <c r="H377" s="3016"/>
      <c r="I377" s="3016"/>
      <c r="J377" s="3016"/>
      <c r="K377" s="3016"/>
      <c r="L377" s="3016"/>
      <c r="M377" s="3016"/>
      <c r="N377" s="3016"/>
      <c r="O377" s="3016"/>
      <c r="P377" s="3016"/>
      <c r="Q377" s="3016"/>
      <c r="R377" s="3016"/>
      <c r="S377" s="3016"/>
      <c r="T377" s="3016"/>
      <c r="U377" s="3016"/>
      <c r="V377" s="3016"/>
      <c r="W377" s="3016"/>
      <c r="X377" s="3016"/>
      <c r="Y377" s="3016"/>
      <c r="Z377" s="3016"/>
      <c r="AA377" s="3016"/>
      <c r="AB377" s="3016"/>
      <c r="AC377" s="3016"/>
      <c r="AD377" s="3016"/>
      <c r="AE377" s="3016"/>
      <c r="AF377" s="3016"/>
      <c r="AG377" s="3016"/>
      <c r="AH377" s="1648"/>
      <c r="AI377" s="1648"/>
      <c r="AJ377" s="1648"/>
      <c r="AK377" s="1648"/>
      <c r="AL377" s="1648"/>
      <c r="AN377" s="1002"/>
    </row>
    <row r="378" spans="1:46" s="945" customFormat="1" ht="12.75" customHeight="1">
      <c r="A378" s="1062"/>
      <c r="B378" s="1025"/>
      <c r="C378" s="1643"/>
      <c r="D378" s="1648"/>
      <c r="E378" s="3016"/>
      <c r="F378" s="3016"/>
      <c r="G378" s="3016"/>
      <c r="H378" s="3016"/>
      <c r="I378" s="3016"/>
      <c r="J378" s="3016"/>
      <c r="K378" s="3016"/>
      <c r="L378" s="3016"/>
      <c r="M378" s="3016"/>
      <c r="N378" s="3016"/>
      <c r="O378" s="3016"/>
      <c r="P378" s="3016"/>
      <c r="Q378" s="3016"/>
      <c r="R378" s="3016"/>
      <c r="S378" s="3016"/>
      <c r="T378" s="3016"/>
      <c r="U378" s="3016"/>
      <c r="V378" s="3016"/>
      <c r="W378" s="3016"/>
      <c r="X378" s="3016"/>
      <c r="Y378" s="3016"/>
      <c r="Z378" s="3016"/>
      <c r="AA378" s="3016"/>
      <c r="AB378" s="3016"/>
      <c r="AC378" s="3016"/>
      <c r="AD378" s="3016"/>
      <c r="AE378" s="3016"/>
      <c r="AF378" s="3016"/>
      <c r="AG378" s="3016"/>
      <c r="AH378" s="1648"/>
      <c r="AI378" s="1648"/>
      <c r="AJ378" s="1648"/>
      <c r="AK378" s="1648"/>
      <c r="AL378" s="1648"/>
      <c r="AN378" s="1002"/>
    </row>
    <row r="379" spans="1:46" s="945" customFormat="1" ht="12.75" customHeight="1">
      <c r="A379" s="1062"/>
      <c r="B379" s="1025"/>
      <c r="C379" s="1643"/>
      <c r="D379" s="1648"/>
      <c r="E379" s="3016"/>
      <c r="F379" s="3016"/>
      <c r="G379" s="3016"/>
      <c r="H379" s="3016"/>
      <c r="I379" s="3016"/>
      <c r="J379" s="3016"/>
      <c r="K379" s="3016"/>
      <c r="L379" s="3016"/>
      <c r="M379" s="3016"/>
      <c r="N379" s="3016"/>
      <c r="O379" s="3016"/>
      <c r="P379" s="3016"/>
      <c r="Q379" s="3016"/>
      <c r="R379" s="3016"/>
      <c r="S379" s="3016"/>
      <c r="T379" s="3016"/>
      <c r="U379" s="3016"/>
      <c r="V379" s="3016"/>
      <c r="W379" s="3016"/>
      <c r="X379" s="3016"/>
      <c r="Y379" s="3016"/>
      <c r="Z379" s="3016"/>
      <c r="AA379" s="3016"/>
      <c r="AB379" s="3016"/>
      <c r="AC379" s="3016"/>
      <c r="AD379" s="3016"/>
      <c r="AE379" s="3016"/>
      <c r="AF379" s="3016"/>
      <c r="AG379" s="3016"/>
      <c r="AH379" s="1648"/>
      <c r="AI379" s="1648"/>
      <c r="AJ379" s="1648"/>
      <c r="AK379" s="1648"/>
      <c r="AL379" s="1648"/>
      <c r="AN379" s="1002"/>
    </row>
    <row r="380" spans="1:46" s="945" customFormat="1" ht="12.75" customHeight="1">
      <c r="A380" s="1062"/>
      <c r="B380" s="1025"/>
      <c r="C380" s="1643"/>
      <c r="D380" s="1650"/>
      <c r="E380" s="3016"/>
      <c r="F380" s="3016"/>
      <c r="G380" s="3016"/>
      <c r="H380" s="3016"/>
      <c r="I380" s="3016"/>
      <c r="J380" s="3016"/>
      <c r="K380" s="3016"/>
      <c r="L380" s="3016"/>
      <c r="M380" s="3016"/>
      <c r="N380" s="3016"/>
      <c r="O380" s="3016"/>
      <c r="P380" s="3016"/>
      <c r="Q380" s="3016"/>
      <c r="R380" s="3016"/>
      <c r="S380" s="3016"/>
      <c r="T380" s="3016"/>
      <c r="U380" s="3016"/>
      <c r="V380" s="3016"/>
      <c r="W380" s="3016"/>
      <c r="X380" s="3016"/>
      <c r="Y380" s="3016"/>
      <c r="Z380" s="3016"/>
      <c r="AA380" s="3016"/>
      <c r="AB380" s="3016"/>
      <c r="AC380" s="3016"/>
      <c r="AD380" s="3016"/>
      <c r="AE380" s="3016"/>
      <c r="AF380" s="3016"/>
      <c r="AG380" s="3016"/>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14">
        <f>VLOOKUP($H$367,$AO$347:$AP$352,2,FALSE)+VLOOKUP($I$375,$AO$374:$AP$376,2,FALSE)</f>
        <v>0</v>
      </c>
      <c r="AK382" s="3015"/>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2" t="s">
        <v>2206</v>
      </c>
      <c r="F386" s="3132"/>
      <c r="G386" s="3132"/>
      <c r="H386" s="3132"/>
      <c r="I386" s="3132"/>
      <c r="J386" s="3132"/>
      <c r="K386" s="3132"/>
      <c r="L386" s="3132"/>
      <c r="M386" s="3132"/>
      <c r="N386" s="3132"/>
      <c r="O386" s="3132"/>
      <c r="P386" s="3132"/>
      <c r="Q386" s="3132"/>
      <c r="R386" s="3132"/>
      <c r="S386" s="3132"/>
      <c r="T386" s="3132"/>
      <c r="U386" s="3132"/>
      <c r="V386" s="3132"/>
      <c r="W386" s="3132"/>
      <c r="X386" s="3132"/>
      <c r="Y386" s="3132"/>
      <c r="Z386" s="3132"/>
      <c r="AA386" s="3132"/>
      <c r="AB386" s="3132"/>
      <c r="AC386" s="3132"/>
      <c r="AD386" s="3132"/>
      <c r="AE386" s="934"/>
      <c r="AF386" s="3126" t="s">
        <v>1636</v>
      </c>
      <c r="AG386" s="3126"/>
      <c r="AH386" s="3126"/>
      <c r="AI386" s="3126"/>
      <c r="AJ386" s="3126"/>
      <c r="AK386" s="3126"/>
      <c r="AL386" s="3126"/>
      <c r="AM386" s="1028"/>
      <c r="AN386" s="1127"/>
    </row>
    <row r="387" spans="1:42" s="945" customFormat="1" ht="12.75" customHeight="1">
      <c r="A387" s="1128"/>
      <c r="B387" s="1025"/>
      <c r="C387" s="1643"/>
      <c r="D387" s="1108"/>
      <c r="E387" s="3132"/>
      <c r="F387" s="3132"/>
      <c r="G387" s="3132"/>
      <c r="H387" s="3132"/>
      <c r="I387" s="3132"/>
      <c r="J387" s="3132"/>
      <c r="K387" s="3132"/>
      <c r="L387" s="3132"/>
      <c r="M387" s="3132"/>
      <c r="N387" s="3132"/>
      <c r="O387" s="3132"/>
      <c r="P387" s="3132"/>
      <c r="Q387" s="3132"/>
      <c r="R387" s="3132"/>
      <c r="S387" s="3132"/>
      <c r="T387" s="3132"/>
      <c r="U387" s="3132"/>
      <c r="V387" s="3132"/>
      <c r="W387" s="3132"/>
      <c r="X387" s="3132"/>
      <c r="Y387" s="3132"/>
      <c r="Z387" s="3132"/>
      <c r="AA387" s="3132"/>
      <c r="AB387" s="3132"/>
      <c r="AC387" s="3132"/>
      <c r="AD387" s="3132"/>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2"/>
      <c r="F388" s="3132"/>
      <c r="G388" s="3132"/>
      <c r="H388" s="3132"/>
      <c r="I388" s="3132"/>
      <c r="J388" s="3132"/>
      <c r="K388" s="3132"/>
      <c r="L388" s="3132"/>
      <c r="M388" s="3132"/>
      <c r="N388" s="3132"/>
      <c r="O388" s="3132"/>
      <c r="P388" s="3132"/>
      <c r="Q388" s="3132"/>
      <c r="R388" s="3132"/>
      <c r="S388" s="3132"/>
      <c r="T388" s="3132"/>
      <c r="U388" s="3132"/>
      <c r="V388" s="3132"/>
      <c r="W388" s="3132"/>
      <c r="X388" s="3132"/>
      <c r="Y388" s="3132"/>
      <c r="Z388" s="3132"/>
      <c r="AA388" s="3132"/>
      <c r="AB388" s="3132"/>
      <c r="AC388" s="3132"/>
      <c r="AD388" s="3132"/>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2"/>
      <c r="F389" s="3132"/>
      <c r="G389" s="3132"/>
      <c r="H389" s="3132"/>
      <c r="I389" s="3132"/>
      <c r="J389" s="3132"/>
      <c r="K389" s="3132"/>
      <c r="L389" s="3132"/>
      <c r="M389" s="3132"/>
      <c r="N389" s="3132"/>
      <c r="O389" s="3132"/>
      <c r="P389" s="3132"/>
      <c r="Q389" s="3132"/>
      <c r="R389" s="3132"/>
      <c r="S389" s="3132"/>
      <c r="T389" s="3132"/>
      <c r="U389" s="3132"/>
      <c r="V389" s="3132"/>
      <c r="W389" s="3132"/>
      <c r="X389" s="3132"/>
      <c r="Y389" s="3132"/>
      <c r="Z389" s="3132"/>
      <c r="AA389" s="3132"/>
      <c r="AB389" s="3132"/>
      <c r="AC389" s="3132"/>
      <c r="AD389" s="3132"/>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2"/>
      <c r="F390" s="3132"/>
      <c r="G390" s="3132"/>
      <c r="H390" s="3132"/>
      <c r="I390" s="3132"/>
      <c r="J390" s="3132"/>
      <c r="K390" s="3132"/>
      <c r="L390" s="3132"/>
      <c r="M390" s="3132"/>
      <c r="N390" s="3132"/>
      <c r="O390" s="3132"/>
      <c r="P390" s="3132"/>
      <c r="Q390" s="3132"/>
      <c r="R390" s="3132"/>
      <c r="S390" s="3132"/>
      <c r="T390" s="3132"/>
      <c r="U390" s="3132"/>
      <c r="V390" s="3132"/>
      <c r="W390" s="3132"/>
      <c r="X390" s="3132"/>
      <c r="Y390" s="3132"/>
      <c r="Z390" s="3132"/>
      <c r="AA390" s="3132"/>
      <c r="AB390" s="3132"/>
      <c r="AC390" s="3132"/>
      <c r="AD390" s="3132"/>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2"/>
      <c r="F391" s="3132"/>
      <c r="G391" s="3132"/>
      <c r="H391" s="3132"/>
      <c r="I391" s="3132"/>
      <c r="J391" s="3132"/>
      <c r="K391" s="3132"/>
      <c r="L391" s="3132"/>
      <c r="M391" s="3132"/>
      <c r="N391" s="3132"/>
      <c r="O391" s="3132"/>
      <c r="P391" s="3132"/>
      <c r="Q391" s="3132"/>
      <c r="R391" s="3132"/>
      <c r="S391" s="3132"/>
      <c r="T391" s="3132"/>
      <c r="U391" s="3132"/>
      <c r="V391" s="3132"/>
      <c r="W391" s="3132"/>
      <c r="X391" s="3132"/>
      <c r="Y391" s="3132"/>
      <c r="Z391" s="3132"/>
      <c r="AA391" s="3132"/>
      <c r="AB391" s="3132"/>
      <c r="AC391" s="3132"/>
      <c r="AD391" s="3132"/>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2"/>
      <c r="F392" s="3132"/>
      <c r="G392" s="3132"/>
      <c r="H392" s="3132"/>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32"/>
      <c r="AD392" s="3132"/>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2"/>
      <c r="F393" s="3132"/>
      <c r="G393" s="3132"/>
      <c r="H393" s="3132"/>
      <c r="I393" s="3132"/>
      <c r="J393" s="3132"/>
      <c r="K393" s="3132"/>
      <c r="L393" s="3132"/>
      <c r="M393" s="3132"/>
      <c r="N393" s="3132"/>
      <c r="O393" s="3132"/>
      <c r="P393" s="3132"/>
      <c r="Q393" s="3132"/>
      <c r="R393" s="3132"/>
      <c r="S393" s="3132"/>
      <c r="T393" s="3132"/>
      <c r="U393" s="3132"/>
      <c r="V393" s="3132"/>
      <c r="W393" s="3132"/>
      <c r="X393" s="3132"/>
      <c r="Y393" s="3132"/>
      <c r="Z393" s="3132"/>
      <c r="AA393" s="3132"/>
      <c r="AB393" s="3132"/>
      <c r="AC393" s="3132"/>
      <c r="AD393" s="3132"/>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131" t="s">
        <v>627</v>
      </c>
      <c r="Y395" s="3131"/>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6" t="s">
        <v>1700</v>
      </c>
      <c r="AG397" s="3126"/>
      <c r="AH397" s="3126"/>
      <c r="AI397" s="3126"/>
      <c r="AJ397" s="3126"/>
      <c r="AK397" s="3126"/>
      <c r="AL397" s="3126"/>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013" t="s">
        <v>627</v>
      </c>
      <c r="I399" s="301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14">
        <f>VLOOKUP($H$399,$AO$366:$AP$368,2,FALSE)</f>
        <v>0</v>
      </c>
      <c r="AK401" s="3015"/>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6" t="s">
        <v>1636</v>
      </c>
      <c r="AG405" s="3126"/>
      <c r="AH405" s="3126"/>
      <c r="AI405" s="3126"/>
      <c r="AJ405" s="3126"/>
      <c r="AK405" s="3126"/>
      <c r="AL405" s="3126"/>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6" t="s">
        <v>1700</v>
      </c>
      <c r="AG408" s="3126"/>
      <c r="AH408" s="3126"/>
      <c r="AI408" s="3126"/>
      <c r="AJ408" s="3126"/>
      <c r="AK408" s="3126"/>
      <c r="AL408" s="3126"/>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013" t="s">
        <v>627</v>
      </c>
      <c r="I411" s="301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14">
        <f>VLOOKUP(H411,AT366:AU368,2,FALSE)</f>
        <v>0</v>
      </c>
      <c r="AK413" s="3015"/>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16" t="s">
        <v>1712</v>
      </c>
      <c r="F418" s="3016"/>
      <c r="G418" s="3016"/>
      <c r="H418" s="3016"/>
      <c r="I418" s="3016"/>
      <c r="J418" s="3016"/>
      <c r="K418" s="3016"/>
      <c r="L418" s="3016"/>
      <c r="M418" s="3016"/>
      <c r="N418" s="3016"/>
      <c r="O418" s="3016"/>
      <c r="P418" s="3016"/>
      <c r="Q418" s="3016"/>
      <c r="R418" s="3016"/>
      <c r="S418" s="3016"/>
      <c r="T418" s="3016"/>
      <c r="U418" s="3016"/>
      <c r="V418" s="3016"/>
      <c r="W418" s="3016"/>
      <c r="X418" s="3016"/>
      <c r="Y418" s="3016"/>
      <c r="Z418" s="3016"/>
      <c r="AA418" s="3016"/>
      <c r="AB418" s="3016"/>
      <c r="AC418" s="3016"/>
      <c r="AD418" s="929"/>
      <c r="AE418" s="929"/>
      <c r="AF418" s="3126" t="s">
        <v>1662</v>
      </c>
      <c r="AG418" s="3126"/>
      <c r="AH418" s="3126"/>
      <c r="AI418" s="3126"/>
      <c r="AJ418" s="3126"/>
      <c r="AK418" s="3126"/>
      <c r="AL418" s="3126"/>
      <c r="AN418" s="1002"/>
    </row>
    <row r="419" spans="1:42" s="945" customFormat="1" ht="12.75" customHeight="1">
      <c r="B419" s="929"/>
      <c r="C419" s="988"/>
      <c r="D419" s="929"/>
      <c r="E419" s="3016"/>
      <c r="F419" s="3016"/>
      <c r="G419" s="3016"/>
      <c r="H419" s="3016"/>
      <c r="I419" s="3016"/>
      <c r="J419" s="3016"/>
      <c r="K419" s="3016"/>
      <c r="L419" s="3016"/>
      <c r="M419" s="3016"/>
      <c r="N419" s="3016"/>
      <c r="O419" s="3016"/>
      <c r="P419" s="3016"/>
      <c r="Q419" s="3016"/>
      <c r="R419" s="3016"/>
      <c r="S419" s="3016"/>
      <c r="T419" s="3016"/>
      <c r="U419" s="3016"/>
      <c r="V419" s="3016"/>
      <c r="W419" s="3016"/>
      <c r="X419" s="3016"/>
      <c r="Y419" s="3016"/>
      <c r="Z419" s="3016"/>
      <c r="AA419" s="3016"/>
      <c r="AB419" s="3016"/>
      <c r="AC419" s="3016"/>
      <c r="AD419" s="929"/>
      <c r="AE419" s="929"/>
      <c r="AF419" s="929"/>
      <c r="AG419" s="929"/>
      <c r="AH419" s="929"/>
      <c r="AI419" s="929"/>
      <c r="AJ419" s="929"/>
      <c r="AK419" s="929"/>
      <c r="AL419" s="929"/>
      <c r="AN419" s="1002"/>
    </row>
    <row r="420" spans="1:42" s="945" customFormat="1" ht="12.75" customHeight="1">
      <c r="B420" s="929"/>
      <c r="C420" s="988"/>
      <c r="D420" s="1108"/>
      <c r="E420" s="3016"/>
      <c r="F420" s="3016"/>
      <c r="G420" s="3016"/>
      <c r="H420" s="3016"/>
      <c r="I420" s="3016"/>
      <c r="J420" s="3016"/>
      <c r="K420" s="3016"/>
      <c r="L420" s="3016"/>
      <c r="M420" s="3016"/>
      <c r="N420" s="3016"/>
      <c r="O420" s="3016"/>
      <c r="P420" s="3016"/>
      <c r="Q420" s="3016"/>
      <c r="R420" s="3016"/>
      <c r="S420" s="3016"/>
      <c r="T420" s="3016"/>
      <c r="U420" s="3016"/>
      <c r="V420" s="3016"/>
      <c r="W420" s="3016"/>
      <c r="X420" s="3016"/>
      <c r="Y420" s="3016"/>
      <c r="Z420" s="3016"/>
      <c r="AA420" s="3016"/>
      <c r="AB420" s="3016"/>
      <c r="AC420" s="3016"/>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16" t="s">
        <v>1713</v>
      </c>
      <c r="F422" s="3016"/>
      <c r="G422" s="3016"/>
      <c r="H422" s="3016"/>
      <c r="I422" s="3016"/>
      <c r="J422" s="3016"/>
      <c r="K422" s="3016"/>
      <c r="L422" s="3016"/>
      <c r="M422" s="3016"/>
      <c r="N422" s="3016"/>
      <c r="O422" s="3016"/>
      <c r="P422" s="3016"/>
      <c r="Q422" s="3016"/>
      <c r="R422" s="3016"/>
      <c r="S422" s="3016"/>
      <c r="T422" s="3016"/>
      <c r="U422" s="3016"/>
      <c r="V422" s="3016"/>
      <c r="W422" s="3016"/>
      <c r="X422" s="3016"/>
      <c r="Y422" s="3016"/>
      <c r="Z422" s="3016"/>
      <c r="AA422" s="3016"/>
      <c r="AB422" s="3016"/>
      <c r="AC422" s="3016"/>
      <c r="AD422" s="929"/>
      <c r="AE422" s="929"/>
      <c r="AF422" s="3126" t="s">
        <v>1691</v>
      </c>
      <c r="AG422" s="3126"/>
      <c r="AH422" s="3126"/>
      <c r="AI422" s="3126"/>
      <c r="AJ422" s="3126"/>
      <c r="AK422" s="3126"/>
      <c r="AL422" s="3126"/>
      <c r="AN422" s="1002"/>
    </row>
    <row r="423" spans="1:42" s="945" customFormat="1" ht="12.75" customHeight="1">
      <c r="B423" s="929"/>
      <c r="C423" s="988"/>
      <c r="D423" s="929"/>
      <c r="E423" s="3016"/>
      <c r="F423" s="3016"/>
      <c r="G423" s="3016"/>
      <c r="H423" s="3016"/>
      <c r="I423" s="3016"/>
      <c r="J423" s="3016"/>
      <c r="K423" s="3016"/>
      <c r="L423" s="3016"/>
      <c r="M423" s="3016"/>
      <c r="N423" s="3016"/>
      <c r="O423" s="3016"/>
      <c r="P423" s="3016"/>
      <c r="Q423" s="3016"/>
      <c r="R423" s="3016"/>
      <c r="S423" s="3016"/>
      <c r="T423" s="3016"/>
      <c r="U423" s="3016"/>
      <c r="V423" s="3016"/>
      <c r="W423" s="3016"/>
      <c r="X423" s="3016"/>
      <c r="Y423" s="3016"/>
      <c r="Z423" s="3016"/>
      <c r="AA423" s="3016"/>
      <c r="AB423" s="3016"/>
      <c r="AC423" s="3016"/>
      <c r="AD423" s="929"/>
      <c r="AE423" s="929"/>
      <c r="AF423" s="929"/>
      <c r="AG423" s="929"/>
      <c r="AH423" s="929"/>
      <c r="AI423" s="929"/>
      <c r="AJ423" s="929"/>
      <c r="AK423" s="929"/>
      <c r="AL423" s="929"/>
      <c r="AN423" s="1002"/>
    </row>
    <row r="424" spans="1:42" s="945" customFormat="1" ht="15" customHeight="1">
      <c r="B424" s="929"/>
      <c r="C424" s="988"/>
      <c r="D424" s="1108"/>
      <c r="E424" s="3016"/>
      <c r="F424" s="3016"/>
      <c r="G424" s="3016"/>
      <c r="H424" s="3016"/>
      <c r="I424" s="3016"/>
      <c r="J424" s="3016"/>
      <c r="K424" s="3016"/>
      <c r="L424" s="3016"/>
      <c r="M424" s="3016"/>
      <c r="N424" s="3016"/>
      <c r="O424" s="3016"/>
      <c r="P424" s="3016"/>
      <c r="Q424" s="3016"/>
      <c r="R424" s="3016"/>
      <c r="S424" s="3016"/>
      <c r="T424" s="3016"/>
      <c r="U424" s="3016"/>
      <c r="V424" s="3016"/>
      <c r="W424" s="3016"/>
      <c r="X424" s="3016"/>
      <c r="Y424" s="3016"/>
      <c r="Z424" s="3016"/>
      <c r="AA424" s="3016"/>
      <c r="AB424" s="3016"/>
      <c r="AC424" s="3016"/>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6" t="s">
        <v>1714</v>
      </c>
      <c r="F426" s="3016"/>
      <c r="G426" s="3016"/>
      <c r="H426" s="3016"/>
      <c r="I426" s="3016"/>
      <c r="J426" s="3016"/>
      <c r="K426" s="3016"/>
      <c r="L426" s="3016"/>
      <c r="M426" s="3016"/>
      <c r="N426" s="3016"/>
      <c r="O426" s="3016"/>
      <c r="P426" s="3016"/>
      <c r="Q426" s="3016"/>
      <c r="R426" s="3016"/>
      <c r="S426" s="3016"/>
      <c r="T426" s="3016"/>
      <c r="U426" s="3016"/>
      <c r="V426" s="3016"/>
      <c r="W426" s="3016"/>
      <c r="X426" s="3016"/>
      <c r="Y426" s="3016"/>
      <c r="Z426" s="3016"/>
      <c r="AA426" s="3016"/>
      <c r="AB426" s="3016"/>
      <c r="AC426" s="3016"/>
      <c r="AD426" s="929"/>
      <c r="AE426" s="929"/>
      <c r="AF426" s="3126" t="s">
        <v>1636</v>
      </c>
      <c r="AG426" s="3126"/>
      <c r="AH426" s="3126"/>
      <c r="AI426" s="3126"/>
      <c r="AJ426" s="3126"/>
      <c r="AK426" s="3126"/>
      <c r="AL426" s="3126"/>
      <c r="AN426" s="1002"/>
    </row>
    <row r="427" spans="1:42" s="945" customFormat="1" ht="12.75" customHeight="1">
      <c r="A427" s="1062"/>
      <c r="B427" s="1025"/>
      <c r="C427" s="1644"/>
      <c r="D427" s="929"/>
      <c r="E427" s="3016"/>
      <c r="F427" s="3016"/>
      <c r="G427" s="3016"/>
      <c r="H427" s="3016"/>
      <c r="I427" s="3016"/>
      <c r="J427" s="3016"/>
      <c r="K427" s="3016"/>
      <c r="L427" s="3016"/>
      <c r="M427" s="3016"/>
      <c r="N427" s="3016"/>
      <c r="O427" s="3016"/>
      <c r="P427" s="3016"/>
      <c r="Q427" s="3016"/>
      <c r="R427" s="3016"/>
      <c r="S427" s="3016"/>
      <c r="T427" s="3016"/>
      <c r="U427" s="3016"/>
      <c r="V427" s="3016"/>
      <c r="W427" s="3016"/>
      <c r="X427" s="3016"/>
      <c r="Y427" s="3016"/>
      <c r="Z427" s="3016"/>
      <c r="AA427" s="3016"/>
      <c r="AB427" s="3016"/>
      <c r="AC427" s="3016"/>
      <c r="AD427" s="929"/>
      <c r="AE427" s="3126"/>
      <c r="AF427" s="3126"/>
      <c r="AG427" s="3126"/>
      <c r="AH427" s="3126"/>
      <c r="AI427" s="3126"/>
      <c r="AJ427" s="3126"/>
      <c r="AK427" s="3126"/>
      <c r="AL427" s="1598"/>
      <c r="AM427" s="1028"/>
      <c r="AN427" s="1002"/>
      <c r="AO427" s="945" t="s">
        <v>627</v>
      </c>
      <c r="AP427" s="1122">
        <v>0</v>
      </c>
    </row>
    <row r="428" spans="1:42" s="945" customFormat="1" ht="12.75" customHeight="1">
      <c r="A428" s="1128"/>
      <c r="B428" s="929"/>
      <c r="C428" s="929"/>
      <c r="D428" s="1108"/>
      <c r="E428" s="3016"/>
      <c r="F428" s="3016"/>
      <c r="G428" s="3016"/>
      <c r="H428" s="3016"/>
      <c r="I428" s="3016"/>
      <c r="J428" s="3016"/>
      <c r="K428" s="3016"/>
      <c r="L428" s="3016"/>
      <c r="M428" s="3016"/>
      <c r="N428" s="3016"/>
      <c r="O428" s="3016"/>
      <c r="P428" s="3016"/>
      <c r="Q428" s="3016"/>
      <c r="R428" s="3016"/>
      <c r="S428" s="3016"/>
      <c r="T428" s="3016"/>
      <c r="U428" s="3016"/>
      <c r="V428" s="3016"/>
      <c r="W428" s="3016"/>
      <c r="X428" s="3016"/>
      <c r="Y428" s="3016"/>
      <c r="Z428" s="3016"/>
      <c r="AA428" s="3016"/>
      <c r="AB428" s="3016"/>
      <c r="AC428" s="3016"/>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016" t="s">
        <v>1715</v>
      </c>
      <c r="F430" s="3016"/>
      <c r="G430" s="3016"/>
      <c r="H430" s="3016"/>
      <c r="I430" s="3016"/>
      <c r="J430" s="3016"/>
      <c r="K430" s="3016"/>
      <c r="L430" s="3016"/>
      <c r="M430" s="3016"/>
      <c r="N430" s="3016"/>
      <c r="O430" s="3016"/>
      <c r="P430" s="3016"/>
      <c r="Q430" s="3016"/>
      <c r="R430" s="3016"/>
      <c r="S430" s="3016"/>
      <c r="T430" s="3016"/>
      <c r="U430" s="3016"/>
      <c r="V430" s="3016"/>
      <c r="W430" s="3016"/>
      <c r="X430" s="3016"/>
      <c r="Y430" s="3016"/>
      <c r="Z430" s="3016"/>
      <c r="AA430" s="3016"/>
      <c r="AB430" s="3016"/>
      <c r="AC430" s="3016"/>
      <c r="AD430" s="929"/>
      <c r="AE430" s="929"/>
      <c r="AF430" s="3126" t="s">
        <v>1691</v>
      </c>
      <c r="AG430" s="3126"/>
      <c r="AH430" s="3126"/>
      <c r="AI430" s="3126"/>
      <c r="AJ430" s="3126"/>
      <c r="AK430" s="3126"/>
      <c r="AL430" s="3126"/>
      <c r="AN430" s="1002"/>
    </row>
    <row r="431" spans="1:42" s="945" customFormat="1" ht="12.75" customHeight="1">
      <c r="A431" s="1117"/>
      <c r="B431" s="1025"/>
      <c r="C431" s="1660"/>
      <c r="D431" s="1108"/>
      <c r="E431" s="3016"/>
      <c r="F431" s="3016"/>
      <c r="G431" s="3016"/>
      <c r="H431" s="3016"/>
      <c r="I431" s="3016"/>
      <c r="J431" s="3016"/>
      <c r="K431" s="3016"/>
      <c r="L431" s="3016"/>
      <c r="M431" s="3016"/>
      <c r="N431" s="3016"/>
      <c r="O431" s="3016"/>
      <c r="P431" s="3016"/>
      <c r="Q431" s="3016"/>
      <c r="R431" s="3016"/>
      <c r="S431" s="3016"/>
      <c r="T431" s="3016"/>
      <c r="U431" s="3016"/>
      <c r="V431" s="3016"/>
      <c r="W431" s="3016"/>
      <c r="X431" s="3016"/>
      <c r="Y431" s="3016"/>
      <c r="Z431" s="3016"/>
      <c r="AA431" s="3016"/>
      <c r="AB431" s="3016"/>
      <c r="AC431" s="3016"/>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6"/>
      <c r="F432" s="3016"/>
      <c r="G432" s="3016"/>
      <c r="H432" s="3016"/>
      <c r="I432" s="3016"/>
      <c r="J432" s="3016"/>
      <c r="K432" s="3016"/>
      <c r="L432" s="3016"/>
      <c r="M432" s="3016"/>
      <c r="N432" s="3016"/>
      <c r="O432" s="3016"/>
      <c r="P432" s="3016"/>
      <c r="Q432" s="3016"/>
      <c r="R432" s="3016"/>
      <c r="S432" s="3016"/>
      <c r="T432" s="3016"/>
      <c r="U432" s="3016"/>
      <c r="V432" s="3016"/>
      <c r="W432" s="3016"/>
      <c r="X432" s="3016"/>
      <c r="Y432" s="3016"/>
      <c r="Z432" s="3016"/>
      <c r="AA432" s="3016"/>
      <c r="AB432" s="3016"/>
      <c r="AC432" s="3016"/>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16" t="s">
        <v>1716</v>
      </c>
      <c r="F434" s="3016"/>
      <c r="G434" s="3016"/>
      <c r="H434" s="3016"/>
      <c r="I434" s="3016"/>
      <c r="J434" s="3016"/>
      <c r="K434" s="3016"/>
      <c r="L434" s="3016"/>
      <c r="M434" s="3016"/>
      <c r="N434" s="3016"/>
      <c r="O434" s="3016"/>
      <c r="P434" s="3016"/>
      <c r="Q434" s="3016"/>
      <c r="R434" s="3016"/>
      <c r="S434" s="3016"/>
      <c r="T434" s="3016"/>
      <c r="U434" s="3016"/>
      <c r="V434" s="3016"/>
      <c r="W434" s="3016"/>
      <c r="X434" s="3016"/>
      <c r="Y434" s="3016"/>
      <c r="Z434" s="3016"/>
      <c r="AA434" s="3016"/>
      <c r="AB434" s="3016"/>
      <c r="AC434" s="3016"/>
      <c r="AD434" s="929"/>
      <c r="AE434" s="929"/>
      <c r="AF434" s="3126" t="s">
        <v>1636</v>
      </c>
      <c r="AG434" s="3126"/>
      <c r="AH434" s="3126"/>
      <c r="AI434" s="3126"/>
      <c r="AJ434" s="3126"/>
      <c r="AK434" s="3126"/>
      <c r="AL434" s="3126"/>
      <c r="AM434" s="1067"/>
      <c r="AN434" s="1002"/>
    </row>
    <row r="435" spans="1:42" s="945" customFormat="1" ht="12.75" customHeight="1">
      <c r="A435" s="1062"/>
      <c r="B435" s="1025"/>
      <c r="C435" s="1644"/>
      <c r="D435" s="1108"/>
      <c r="E435" s="3016"/>
      <c r="F435" s="3016"/>
      <c r="G435" s="3016"/>
      <c r="H435" s="3016"/>
      <c r="I435" s="3016"/>
      <c r="J435" s="3016"/>
      <c r="K435" s="3016"/>
      <c r="L435" s="3016"/>
      <c r="M435" s="3016"/>
      <c r="N435" s="3016"/>
      <c r="O435" s="3016"/>
      <c r="P435" s="3016"/>
      <c r="Q435" s="3016"/>
      <c r="R435" s="3016"/>
      <c r="S435" s="3016"/>
      <c r="T435" s="3016"/>
      <c r="U435" s="3016"/>
      <c r="V435" s="3016"/>
      <c r="W435" s="3016"/>
      <c r="X435" s="3016"/>
      <c r="Y435" s="3016"/>
      <c r="Z435" s="3016"/>
      <c r="AA435" s="3016"/>
      <c r="AB435" s="3016"/>
      <c r="AC435" s="3016"/>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6"/>
      <c r="F436" s="3016"/>
      <c r="G436" s="3016"/>
      <c r="H436" s="3016"/>
      <c r="I436" s="3016"/>
      <c r="J436" s="3016"/>
      <c r="K436" s="3016"/>
      <c r="L436" s="3016"/>
      <c r="M436" s="3016"/>
      <c r="N436" s="3016"/>
      <c r="O436" s="3016"/>
      <c r="P436" s="3016"/>
      <c r="Q436" s="3016"/>
      <c r="R436" s="3016"/>
      <c r="S436" s="3016"/>
      <c r="T436" s="3016"/>
      <c r="U436" s="3016"/>
      <c r="V436" s="3016"/>
      <c r="W436" s="3016"/>
      <c r="X436" s="3016"/>
      <c r="Y436" s="3016"/>
      <c r="Z436" s="3016"/>
      <c r="AA436" s="3016"/>
      <c r="AB436" s="3016"/>
      <c r="AC436" s="3016"/>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16" t="s">
        <v>1717</v>
      </c>
      <c r="F438" s="3016"/>
      <c r="G438" s="3016"/>
      <c r="H438" s="3016"/>
      <c r="I438" s="3016"/>
      <c r="J438" s="3016"/>
      <c r="K438" s="3016"/>
      <c r="L438" s="3016"/>
      <c r="M438" s="3016"/>
      <c r="N438" s="3016"/>
      <c r="O438" s="3016"/>
      <c r="P438" s="3016"/>
      <c r="Q438" s="3016"/>
      <c r="R438" s="3016"/>
      <c r="S438" s="3016"/>
      <c r="T438" s="3016"/>
      <c r="U438" s="3016"/>
      <c r="V438" s="3016"/>
      <c r="W438" s="3016"/>
      <c r="X438" s="3016"/>
      <c r="Y438" s="3016"/>
      <c r="Z438" s="3016"/>
      <c r="AA438" s="3016"/>
      <c r="AB438" s="3016"/>
      <c r="AC438" s="3016"/>
      <c r="AD438" s="929"/>
      <c r="AE438" s="929"/>
      <c r="AF438" s="3126" t="s">
        <v>1700</v>
      </c>
      <c r="AG438" s="3126"/>
      <c r="AH438" s="3126"/>
      <c r="AI438" s="3126"/>
      <c r="AJ438" s="3126"/>
      <c r="AK438" s="3126"/>
      <c r="AL438" s="3126"/>
      <c r="AM438" s="1067"/>
      <c r="AN438" s="1002"/>
    </row>
    <row r="439" spans="1:42" s="945" customFormat="1" ht="12.75" customHeight="1">
      <c r="A439" s="1601"/>
      <c r="B439" s="1008"/>
      <c r="C439" s="1641"/>
      <c r="D439" s="1108"/>
      <c r="E439" s="3016"/>
      <c r="F439" s="3016"/>
      <c r="G439" s="3016"/>
      <c r="H439" s="3016"/>
      <c r="I439" s="3016"/>
      <c r="J439" s="3016"/>
      <c r="K439" s="3016"/>
      <c r="L439" s="3016"/>
      <c r="M439" s="3016"/>
      <c r="N439" s="3016"/>
      <c r="O439" s="3016"/>
      <c r="P439" s="3016"/>
      <c r="Q439" s="3016"/>
      <c r="R439" s="3016"/>
      <c r="S439" s="3016"/>
      <c r="T439" s="3016"/>
      <c r="U439" s="3016"/>
      <c r="V439" s="3016"/>
      <c r="W439" s="3016"/>
      <c r="X439" s="3016"/>
      <c r="Y439" s="3016"/>
      <c r="Z439" s="3016"/>
      <c r="AA439" s="3016"/>
      <c r="AB439" s="3016"/>
      <c r="AC439" s="3016"/>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6"/>
      <c r="F440" s="3016"/>
      <c r="G440" s="3016"/>
      <c r="H440" s="3016"/>
      <c r="I440" s="3016"/>
      <c r="J440" s="3016"/>
      <c r="K440" s="3016"/>
      <c r="L440" s="3016"/>
      <c r="M440" s="3016"/>
      <c r="N440" s="3016"/>
      <c r="O440" s="3016"/>
      <c r="P440" s="3016"/>
      <c r="Q440" s="3016"/>
      <c r="R440" s="3016"/>
      <c r="S440" s="3016"/>
      <c r="T440" s="3016"/>
      <c r="U440" s="3016"/>
      <c r="V440" s="3016"/>
      <c r="W440" s="3016"/>
      <c r="X440" s="3016"/>
      <c r="Y440" s="3016"/>
      <c r="Z440" s="3016"/>
      <c r="AA440" s="3016"/>
      <c r="AB440" s="3016"/>
      <c r="AC440" s="3016"/>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016" t="s">
        <v>1718</v>
      </c>
      <c r="F442" s="3016"/>
      <c r="G442" s="3016"/>
      <c r="H442" s="3016"/>
      <c r="I442" s="3016"/>
      <c r="J442" s="3016"/>
      <c r="K442" s="3016"/>
      <c r="L442" s="3016"/>
      <c r="M442" s="3016"/>
      <c r="N442" s="3016"/>
      <c r="O442" s="3016"/>
      <c r="P442" s="3016"/>
      <c r="Q442" s="3016"/>
      <c r="R442" s="3016"/>
      <c r="S442" s="3016"/>
      <c r="T442" s="3016"/>
      <c r="U442" s="3016"/>
      <c r="V442" s="3016"/>
      <c r="W442" s="3016"/>
      <c r="X442" s="3016"/>
      <c r="Y442" s="3016"/>
      <c r="Z442" s="3016"/>
      <c r="AA442" s="3016"/>
      <c r="AB442" s="3016"/>
      <c r="AC442" s="3016"/>
      <c r="AD442" s="929"/>
      <c r="AE442" s="929"/>
      <c r="AF442" s="3126" t="s">
        <v>1719</v>
      </c>
      <c r="AG442" s="3126"/>
      <c r="AH442" s="3126"/>
      <c r="AI442" s="3126"/>
      <c r="AJ442" s="3126"/>
      <c r="AK442" s="3126"/>
      <c r="AL442" s="3126"/>
      <c r="AM442" s="1067"/>
      <c r="AN442" s="1002"/>
      <c r="AO442" s="1120" t="s">
        <v>726</v>
      </c>
      <c r="AP442" s="945">
        <v>3</v>
      </c>
    </row>
    <row r="443" spans="1:42" s="945" customFormat="1" ht="12.75" customHeight="1">
      <c r="A443" s="1601"/>
      <c r="B443" s="1008"/>
      <c r="C443" s="1641"/>
      <c r="D443" s="1108"/>
      <c r="E443" s="3016"/>
      <c r="F443" s="3016"/>
      <c r="G443" s="3016"/>
      <c r="H443" s="3016"/>
      <c r="I443" s="3016"/>
      <c r="J443" s="3016"/>
      <c r="K443" s="3016"/>
      <c r="L443" s="3016"/>
      <c r="M443" s="3016"/>
      <c r="N443" s="3016"/>
      <c r="O443" s="3016"/>
      <c r="P443" s="3016"/>
      <c r="Q443" s="3016"/>
      <c r="R443" s="3016"/>
      <c r="S443" s="3016"/>
      <c r="T443" s="3016"/>
      <c r="U443" s="3016"/>
      <c r="V443" s="3016"/>
      <c r="W443" s="3016"/>
      <c r="X443" s="3016"/>
      <c r="Y443" s="3016"/>
      <c r="Z443" s="3016"/>
      <c r="AA443" s="3016"/>
      <c r="AB443" s="3016"/>
      <c r="AC443" s="3016"/>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16"/>
      <c r="F444" s="3016"/>
      <c r="G444" s="3016"/>
      <c r="H444" s="3016"/>
      <c r="I444" s="3016"/>
      <c r="J444" s="3016"/>
      <c r="K444" s="3016"/>
      <c r="L444" s="3016"/>
      <c r="M444" s="3016"/>
      <c r="N444" s="3016"/>
      <c r="O444" s="3016"/>
      <c r="P444" s="3016"/>
      <c r="Q444" s="3016"/>
      <c r="R444" s="3016"/>
      <c r="S444" s="3016"/>
      <c r="T444" s="3016"/>
      <c r="U444" s="3016"/>
      <c r="V444" s="3016"/>
      <c r="W444" s="3016"/>
      <c r="X444" s="3016"/>
      <c r="Y444" s="3016"/>
      <c r="Z444" s="3016"/>
      <c r="AA444" s="3016"/>
      <c r="AB444" s="3016"/>
      <c r="AC444" s="3016"/>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013" t="s">
        <v>627</v>
      </c>
      <c r="I446" s="301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14">
        <f>VLOOKUP($H$446,$AO$394:$AP$401,2,FALSE)</f>
        <v>0</v>
      </c>
      <c r="AK448" s="3015"/>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16" t="s">
        <v>2201</v>
      </c>
      <c r="F452" s="3016"/>
      <c r="G452" s="3016"/>
      <c r="H452" s="3016"/>
      <c r="I452" s="3016"/>
      <c r="J452" s="3016"/>
      <c r="K452" s="3016"/>
      <c r="L452" s="3016"/>
      <c r="M452" s="3016"/>
      <c r="N452" s="3016"/>
      <c r="O452" s="3016"/>
      <c r="P452" s="3016"/>
      <c r="Q452" s="3016"/>
      <c r="R452" s="3016"/>
      <c r="S452" s="3016"/>
      <c r="T452" s="3016"/>
      <c r="U452" s="3016"/>
      <c r="V452" s="3016"/>
      <c r="W452" s="3016"/>
      <c r="X452" s="3016"/>
      <c r="Y452" s="3016"/>
      <c r="Z452" s="3016"/>
      <c r="AA452" s="3016"/>
      <c r="AB452" s="3016"/>
      <c r="AC452" s="929"/>
      <c r="AD452" s="929"/>
      <c r="AE452" s="932"/>
      <c r="AF452" s="3126" t="s">
        <v>1636</v>
      </c>
      <c r="AG452" s="3126"/>
      <c r="AH452" s="3126"/>
      <c r="AI452" s="3126"/>
      <c r="AJ452" s="3126"/>
      <c r="AK452" s="3126"/>
      <c r="AL452" s="3126"/>
      <c r="AM452" s="1028"/>
      <c r="AN452" s="1003"/>
    </row>
    <row r="453" spans="1:42" s="1004" customFormat="1" ht="12.75" customHeight="1">
      <c r="A453" s="1062"/>
      <c r="B453" s="1025"/>
      <c r="C453" s="1653"/>
      <c r="D453" s="1108"/>
      <c r="E453" s="3016"/>
      <c r="F453" s="3016"/>
      <c r="G453" s="3016"/>
      <c r="H453" s="3016"/>
      <c r="I453" s="3016"/>
      <c r="J453" s="3016"/>
      <c r="K453" s="3016"/>
      <c r="L453" s="3016"/>
      <c r="M453" s="3016"/>
      <c r="N453" s="3016"/>
      <c r="O453" s="3016"/>
      <c r="P453" s="3016"/>
      <c r="Q453" s="3016"/>
      <c r="R453" s="3016"/>
      <c r="S453" s="3016"/>
      <c r="T453" s="3016"/>
      <c r="U453" s="3016"/>
      <c r="V453" s="3016"/>
      <c r="W453" s="3016"/>
      <c r="X453" s="3016"/>
      <c r="Y453" s="3016"/>
      <c r="Z453" s="3016"/>
      <c r="AA453" s="3016"/>
      <c r="AB453" s="3016"/>
      <c r="AC453" s="929"/>
      <c r="AD453" s="929"/>
      <c r="AE453" s="1037"/>
      <c r="AF453" s="932"/>
      <c r="AG453" s="932"/>
      <c r="AH453" s="932"/>
      <c r="AI453" s="932"/>
      <c r="AJ453" s="932"/>
      <c r="AK453" s="932"/>
      <c r="AL453" s="932"/>
      <c r="AM453" s="1028"/>
      <c r="AN453" s="1003"/>
      <c r="AO453" s="3130"/>
      <c r="AP453" s="3130"/>
    </row>
    <row r="454" spans="1:42" s="1004" customFormat="1" ht="12.75" customHeight="1">
      <c r="A454" s="1062"/>
      <c r="B454" s="1025"/>
      <c r="C454" s="1653"/>
      <c r="D454" s="1108"/>
      <c r="E454" s="3016"/>
      <c r="F454" s="3016"/>
      <c r="G454" s="3016"/>
      <c r="H454" s="3016"/>
      <c r="I454" s="3016"/>
      <c r="J454" s="3016"/>
      <c r="K454" s="3016"/>
      <c r="L454" s="3016"/>
      <c r="M454" s="3016"/>
      <c r="N454" s="3016"/>
      <c r="O454" s="3016"/>
      <c r="P454" s="3016"/>
      <c r="Q454" s="3016"/>
      <c r="R454" s="3016"/>
      <c r="S454" s="3016"/>
      <c r="T454" s="3016"/>
      <c r="U454" s="3016"/>
      <c r="V454" s="3016"/>
      <c r="W454" s="3016"/>
      <c r="X454" s="3016"/>
      <c r="Y454" s="3016"/>
      <c r="Z454" s="3016"/>
      <c r="AA454" s="3016"/>
      <c r="AB454" s="3016"/>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6"/>
      <c r="F455" s="3016"/>
      <c r="G455" s="3016"/>
      <c r="H455" s="3016"/>
      <c r="I455" s="3016"/>
      <c r="J455" s="3016"/>
      <c r="K455" s="3016"/>
      <c r="L455" s="3016"/>
      <c r="M455" s="3016"/>
      <c r="N455" s="3016"/>
      <c r="O455" s="3016"/>
      <c r="P455" s="3016"/>
      <c r="Q455" s="3016"/>
      <c r="R455" s="3016"/>
      <c r="S455" s="3016"/>
      <c r="T455" s="3016"/>
      <c r="U455" s="3016"/>
      <c r="V455" s="3016"/>
      <c r="W455" s="3016"/>
      <c r="X455" s="3016"/>
      <c r="Y455" s="3016"/>
      <c r="Z455" s="3016"/>
      <c r="AA455" s="3016"/>
      <c r="AB455" s="3016"/>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16" t="s">
        <v>2203</v>
      </c>
      <c r="F457" s="3016"/>
      <c r="G457" s="3016"/>
      <c r="H457" s="3016"/>
      <c r="I457" s="3016"/>
      <c r="J457" s="3016"/>
      <c r="K457" s="3016"/>
      <c r="L457" s="3016"/>
      <c r="M457" s="3016"/>
      <c r="N457" s="3016"/>
      <c r="O457" s="3016"/>
      <c r="P457" s="3016"/>
      <c r="Q457" s="3016"/>
      <c r="R457" s="3016"/>
      <c r="S457" s="3016"/>
      <c r="T457" s="3016"/>
      <c r="U457" s="3016"/>
      <c r="V457" s="3016"/>
      <c r="W457" s="3016"/>
      <c r="X457" s="3016"/>
      <c r="Y457" s="3016"/>
      <c r="Z457" s="3016"/>
      <c r="AA457" s="3016"/>
      <c r="AB457" s="3016"/>
      <c r="AC457" s="929"/>
      <c r="AD457" s="929"/>
      <c r="AE457" s="929"/>
      <c r="AF457" s="3126" t="s">
        <v>1700</v>
      </c>
      <c r="AG457" s="3126"/>
      <c r="AH457" s="3126"/>
      <c r="AI457" s="3126"/>
      <c r="AJ457" s="3126"/>
      <c r="AK457" s="3126"/>
      <c r="AL457" s="3126"/>
      <c r="AM457" s="1028"/>
      <c r="AN457" s="1002"/>
      <c r="AO457" s="1120" t="s">
        <v>543</v>
      </c>
      <c r="AP457" s="945">
        <v>1</v>
      </c>
    </row>
    <row r="458" spans="1:42" s="945" customFormat="1" ht="12" customHeight="1">
      <c r="A458" s="1028"/>
      <c r="B458" s="929"/>
      <c r="C458" s="1661"/>
      <c r="D458" s="929"/>
      <c r="E458" s="3016"/>
      <c r="F458" s="3016"/>
      <c r="G458" s="3016"/>
      <c r="H458" s="3016"/>
      <c r="I458" s="3016"/>
      <c r="J458" s="3016"/>
      <c r="K458" s="3016"/>
      <c r="L458" s="3016"/>
      <c r="M458" s="3016"/>
      <c r="N458" s="3016"/>
      <c r="O458" s="3016"/>
      <c r="P458" s="3016"/>
      <c r="Q458" s="3016"/>
      <c r="R458" s="3016"/>
      <c r="S458" s="3016"/>
      <c r="T458" s="3016"/>
      <c r="U458" s="3016"/>
      <c r="V458" s="3016"/>
      <c r="W458" s="3016"/>
      <c r="X458" s="3016"/>
      <c r="Y458" s="3016"/>
      <c r="Z458" s="3016"/>
      <c r="AA458" s="3016"/>
      <c r="AB458" s="3016"/>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6"/>
      <c r="F459" s="3016"/>
      <c r="G459" s="3016"/>
      <c r="H459" s="3016"/>
      <c r="I459" s="3016"/>
      <c r="J459" s="3016"/>
      <c r="K459" s="3016"/>
      <c r="L459" s="3016"/>
      <c r="M459" s="3016"/>
      <c r="N459" s="3016"/>
      <c r="O459" s="3016"/>
      <c r="P459" s="3016"/>
      <c r="Q459" s="3016"/>
      <c r="R459" s="3016"/>
      <c r="S459" s="3016"/>
      <c r="T459" s="3016"/>
      <c r="U459" s="3016"/>
      <c r="V459" s="3016"/>
      <c r="W459" s="3016"/>
      <c r="X459" s="3016"/>
      <c r="Y459" s="3016"/>
      <c r="Z459" s="3016"/>
      <c r="AA459" s="3016"/>
      <c r="AB459" s="3016"/>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6"/>
      <c r="F460" s="3016"/>
      <c r="G460" s="3016"/>
      <c r="H460" s="3016"/>
      <c r="I460" s="3016"/>
      <c r="J460" s="3016"/>
      <c r="K460" s="3016"/>
      <c r="L460" s="3016"/>
      <c r="M460" s="3016"/>
      <c r="N460" s="3016"/>
      <c r="O460" s="3016"/>
      <c r="P460" s="3016"/>
      <c r="Q460" s="3016"/>
      <c r="R460" s="3016"/>
      <c r="S460" s="3016"/>
      <c r="T460" s="3016"/>
      <c r="U460" s="3016"/>
      <c r="V460" s="3016"/>
      <c r="W460" s="3016"/>
      <c r="X460" s="3016"/>
      <c r="Y460" s="3016"/>
      <c r="Z460" s="3016"/>
      <c r="AA460" s="3016"/>
      <c r="AB460" s="3016"/>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6" t="s">
        <v>2202</v>
      </c>
      <c r="F462" s="3016"/>
      <c r="G462" s="3016"/>
      <c r="H462" s="3016"/>
      <c r="I462" s="3016"/>
      <c r="J462" s="3016"/>
      <c r="K462" s="3016"/>
      <c r="L462" s="3016"/>
      <c r="M462" s="3016"/>
      <c r="N462" s="3016"/>
      <c r="O462" s="3016"/>
      <c r="P462" s="3016"/>
      <c r="Q462" s="3016"/>
      <c r="R462" s="3016"/>
      <c r="S462" s="3016"/>
      <c r="T462" s="3016"/>
      <c r="U462" s="3016"/>
      <c r="V462" s="3016"/>
      <c r="W462" s="3016"/>
      <c r="X462" s="3016"/>
      <c r="Y462" s="3016"/>
      <c r="Z462" s="3016"/>
      <c r="AA462" s="3016"/>
      <c r="AB462" s="3016"/>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6"/>
      <c r="F463" s="3016"/>
      <c r="G463" s="3016"/>
      <c r="H463" s="3016"/>
      <c r="I463" s="3016"/>
      <c r="J463" s="3016"/>
      <c r="K463" s="3016"/>
      <c r="L463" s="3016"/>
      <c r="M463" s="3016"/>
      <c r="N463" s="3016"/>
      <c r="O463" s="3016"/>
      <c r="P463" s="3016"/>
      <c r="Q463" s="3016"/>
      <c r="R463" s="3016"/>
      <c r="S463" s="3016"/>
      <c r="T463" s="3016"/>
      <c r="U463" s="3016"/>
      <c r="V463" s="3016"/>
      <c r="W463" s="3016"/>
      <c r="X463" s="3016"/>
      <c r="Y463" s="3016"/>
      <c r="Z463" s="3016"/>
      <c r="AA463" s="3016"/>
      <c r="AB463" s="3016"/>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6"/>
      <c r="F464" s="3016"/>
      <c r="G464" s="3016"/>
      <c r="H464" s="3016"/>
      <c r="I464" s="3016"/>
      <c r="J464" s="3016"/>
      <c r="K464" s="3016"/>
      <c r="L464" s="3016"/>
      <c r="M464" s="3016"/>
      <c r="N464" s="3016"/>
      <c r="O464" s="3016"/>
      <c r="P464" s="3016"/>
      <c r="Q464" s="3016"/>
      <c r="R464" s="3016"/>
      <c r="S464" s="3016"/>
      <c r="T464" s="3016"/>
      <c r="U464" s="3016"/>
      <c r="V464" s="3016"/>
      <c r="W464" s="3016"/>
      <c r="X464" s="3016"/>
      <c r="Y464" s="3016"/>
      <c r="Z464" s="3016"/>
      <c r="AA464" s="3016"/>
      <c r="AB464" s="3016"/>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013" t="s">
        <v>627</v>
      </c>
      <c r="I466" s="301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14">
        <f>VLOOKUP($H$466,$AO$413:$AP$415,2,FALSE)</f>
        <v>0</v>
      </c>
      <c r="AK468" s="3015"/>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28" t="s">
        <v>2207</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9"/>
      <c r="AD472" s="929"/>
      <c r="AE472" s="929"/>
      <c r="AF472" s="3126" t="s">
        <v>1636</v>
      </c>
      <c r="AG472" s="3126"/>
      <c r="AH472" s="3126"/>
      <c r="AI472" s="3126"/>
      <c r="AJ472" s="3126"/>
      <c r="AK472" s="3126"/>
      <c r="AL472" s="3126"/>
      <c r="AM472" s="1028"/>
      <c r="AN472" s="1135"/>
      <c r="AP472" s="1137" t="s">
        <v>1728</v>
      </c>
    </row>
    <row r="473" spans="1:43" s="1136" customFormat="1" ht="11.85" customHeight="1">
      <c r="A473" s="1062"/>
      <c r="B473" s="1025"/>
      <c r="C473" s="1643"/>
      <c r="D473" s="1108"/>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9"/>
      <c r="AD473" s="929"/>
      <c r="AE473" s="1025"/>
      <c r="AF473" s="929"/>
      <c r="AG473" s="929"/>
      <c r="AH473" s="929"/>
      <c r="AI473" s="929"/>
      <c r="AJ473" s="929"/>
      <c r="AK473" s="929"/>
      <c r="AL473" s="929"/>
      <c r="AM473" s="1028"/>
      <c r="AN473" s="1135"/>
      <c r="AP473" s="1137" t="s">
        <v>1729</v>
      </c>
    </row>
    <row r="474" spans="1:43" s="1136" customFormat="1" ht="13.95" customHeight="1">
      <c r="A474" s="1062"/>
      <c r="B474" s="1026"/>
      <c r="C474" s="1644"/>
      <c r="D474" s="1108"/>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9"/>
      <c r="AD474" s="929"/>
      <c r="AE474" s="1037"/>
      <c r="AF474" s="929"/>
      <c r="AG474" s="929"/>
      <c r="AH474" s="929"/>
      <c r="AI474" s="929"/>
      <c r="AJ474" s="929"/>
      <c r="AK474" s="929"/>
      <c r="AL474" s="929"/>
      <c r="AM474" s="1028"/>
      <c r="AN474" s="1135"/>
      <c r="AP474" s="1137" t="s">
        <v>1730</v>
      </c>
    </row>
    <row r="475" spans="1:43" s="1136" customFormat="1" ht="13.9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5" customHeight="1">
      <c r="A476" s="1062"/>
      <c r="B476" s="1008"/>
      <c r="C476" s="1641"/>
      <c r="D476" s="1108" t="s">
        <v>543</v>
      </c>
      <c r="E476" s="3129" t="s">
        <v>1731</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9"/>
      <c r="AD476" s="929"/>
      <c r="AE476" s="929"/>
      <c r="AF476" s="3126" t="s">
        <v>1700</v>
      </c>
      <c r="AG476" s="3126"/>
      <c r="AH476" s="3126"/>
      <c r="AI476" s="3126"/>
      <c r="AJ476" s="3126"/>
      <c r="AK476" s="3126"/>
      <c r="AL476" s="3126"/>
      <c r="AM476" s="1028"/>
      <c r="AN476" s="1138"/>
    </row>
    <row r="477" spans="1:43" s="1136" customFormat="1" ht="12.75" customHeight="1">
      <c r="A477" s="1062"/>
      <c r="B477" s="1025"/>
      <c r="C477" s="1643"/>
      <c r="D477" s="1025"/>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25"/>
      <c r="AD477" s="1025"/>
      <c r="AE477" s="1025"/>
      <c r="AF477" s="1025"/>
      <c r="AG477" s="1025"/>
      <c r="AH477" s="1025"/>
      <c r="AI477" s="1025"/>
      <c r="AJ477" s="929"/>
      <c r="AK477" s="1008"/>
      <c r="AL477" s="1008"/>
      <c r="AM477" s="1028"/>
      <c r="AN477" s="1135"/>
      <c r="AP477" s="945" t="s">
        <v>627</v>
      </c>
      <c r="AQ477" s="1122">
        <v>0</v>
      </c>
    </row>
    <row r="478" spans="1:43" s="1136" customFormat="1" ht="13.95" customHeight="1">
      <c r="A478" s="1062"/>
      <c r="B478" s="1025"/>
      <c r="C478" s="1643"/>
      <c r="D478" s="1025"/>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25"/>
      <c r="AD478" s="1025"/>
      <c r="AE478" s="1025"/>
      <c r="AF478" s="1025"/>
      <c r="AG478" s="1025"/>
      <c r="AH478" s="1025"/>
      <c r="AI478" s="1025"/>
      <c r="AJ478" s="929"/>
      <c r="AK478" s="1008"/>
      <c r="AL478" s="1008"/>
      <c r="AM478" s="1028"/>
      <c r="AN478" s="1135"/>
      <c r="AP478" s="1120" t="s">
        <v>726</v>
      </c>
      <c r="AQ478" s="945">
        <v>2</v>
      </c>
    </row>
    <row r="479" spans="1:43" s="1136" customFormat="1" ht="13.9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5" customHeight="1">
      <c r="A480" s="1062"/>
      <c r="B480" s="1025"/>
      <c r="C480" s="1643"/>
      <c r="D480" s="1025" t="s">
        <v>1692</v>
      </c>
      <c r="E480" s="1647"/>
      <c r="F480" s="1647"/>
      <c r="G480" s="1647"/>
      <c r="H480" s="3013" t="s">
        <v>627</v>
      </c>
      <c r="I480" s="301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14">
        <f>VLOOKUP($H$480,$AO$413:$AP$415,2,FALSE)</f>
        <v>0</v>
      </c>
      <c r="AK482" s="3015"/>
      <c r="AL482" s="1007"/>
      <c r="AM482" s="1004"/>
      <c r="AN482" s="1140"/>
      <c r="AP482" s="3014"/>
      <c r="AQ482" s="301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6" t="s">
        <v>2208</v>
      </c>
      <c r="F486" s="3016"/>
      <c r="G486" s="3016"/>
      <c r="H486" s="3016"/>
      <c r="I486" s="3016"/>
      <c r="J486" s="3016"/>
      <c r="K486" s="3016"/>
      <c r="L486" s="3016"/>
      <c r="M486" s="3016"/>
      <c r="N486" s="3016"/>
      <c r="O486" s="3016"/>
      <c r="P486" s="3016"/>
      <c r="Q486" s="3016"/>
      <c r="R486" s="3016"/>
      <c r="S486" s="3016"/>
      <c r="T486" s="3016"/>
      <c r="U486" s="3016"/>
      <c r="V486" s="3016"/>
      <c r="W486" s="3016"/>
      <c r="X486" s="3016"/>
      <c r="Y486" s="3016"/>
      <c r="Z486" s="3016"/>
      <c r="AA486" s="3016"/>
      <c r="AB486" s="3016"/>
      <c r="AC486" s="929"/>
      <c r="AD486" s="929"/>
      <c r="AE486" s="929"/>
      <c r="AF486" s="3126" t="s">
        <v>1636</v>
      </c>
      <c r="AG486" s="3126"/>
      <c r="AH486" s="3126"/>
      <c r="AI486" s="3126"/>
      <c r="AJ486" s="3126"/>
      <c r="AK486" s="3126"/>
      <c r="AL486" s="3126"/>
      <c r="AM486" s="1028"/>
      <c r="AN486" s="1135"/>
      <c r="AT486" s="51"/>
      <c r="AU486" s="51"/>
      <c r="AV486" s="51"/>
      <c r="AW486" s="51"/>
      <c r="AX486" s="51"/>
      <c r="AY486" s="51"/>
      <c r="AZ486" s="51"/>
    </row>
    <row r="487" spans="1:81" s="1136" customFormat="1">
      <c r="A487" s="1062"/>
      <c r="B487" s="1025"/>
      <c r="C487" s="1643"/>
      <c r="D487" s="1108"/>
      <c r="E487" s="3016"/>
      <c r="F487" s="3016"/>
      <c r="G487" s="3016"/>
      <c r="H487" s="3016"/>
      <c r="I487" s="3016"/>
      <c r="J487" s="3016"/>
      <c r="K487" s="3016"/>
      <c r="L487" s="3016"/>
      <c r="M487" s="3016"/>
      <c r="N487" s="3016"/>
      <c r="O487" s="3016"/>
      <c r="P487" s="3016"/>
      <c r="Q487" s="3016"/>
      <c r="R487" s="3016"/>
      <c r="S487" s="3016"/>
      <c r="T487" s="3016"/>
      <c r="U487" s="3016"/>
      <c r="V487" s="3016"/>
      <c r="W487" s="3016"/>
      <c r="X487" s="3016"/>
      <c r="Y487" s="3016"/>
      <c r="Z487" s="3016"/>
      <c r="AA487" s="3016"/>
      <c r="AB487" s="3016"/>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16" t="s">
        <v>1735</v>
      </c>
      <c r="F489" s="3016"/>
      <c r="G489" s="3016"/>
      <c r="H489" s="3016"/>
      <c r="I489" s="3016"/>
      <c r="J489" s="3016"/>
      <c r="K489" s="3016"/>
      <c r="L489" s="3016"/>
      <c r="M489" s="3016"/>
      <c r="N489" s="3016"/>
      <c r="O489" s="3016"/>
      <c r="P489" s="3016"/>
      <c r="Q489" s="3016"/>
      <c r="R489" s="3016"/>
      <c r="S489" s="3016"/>
      <c r="T489" s="3016"/>
      <c r="U489" s="3016"/>
      <c r="V489" s="3016"/>
      <c r="W489" s="3016"/>
      <c r="X489" s="3016"/>
      <c r="Y489" s="3016"/>
      <c r="Z489" s="3016"/>
      <c r="AA489" s="3016"/>
      <c r="AB489" s="3016"/>
      <c r="AC489" s="929"/>
      <c r="AD489" s="929"/>
      <c r="AE489" s="929"/>
      <c r="AF489" s="3126" t="s">
        <v>1700</v>
      </c>
      <c r="AG489" s="3126"/>
      <c r="AH489" s="3126"/>
      <c r="AI489" s="3126"/>
      <c r="AJ489" s="3126"/>
      <c r="AK489" s="3126"/>
      <c r="AL489" s="3126"/>
      <c r="AM489" s="1028"/>
      <c r="AN489" s="1135"/>
      <c r="AT489" s="51"/>
      <c r="AU489" s="51"/>
      <c r="AV489" s="51"/>
      <c r="AW489" s="51"/>
      <c r="AX489" s="51"/>
      <c r="AY489" s="51"/>
      <c r="AZ489" s="51"/>
    </row>
    <row r="490" spans="1:81" s="1136" customFormat="1">
      <c r="A490" s="1062"/>
      <c r="B490" s="1025"/>
      <c r="C490" s="1643"/>
      <c r="D490" s="1025"/>
      <c r="E490" s="3016"/>
      <c r="F490" s="3016"/>
      <c r="G490" s="3016"/>
      <c r="H490" s="3016"/>
      <c r="I490" s="3016"/>
      <c r="J490" s="3016"/>
      <c r="K490" s="3016"/>
      <c r="L490" s="3016"/>
      <c r="M490" s="3016"/>
      <c r="N490" s="3016"/>
      <c r="O490" s="3016"/>
      <c r="P490" s="3016"/>
      <c r="Q490" s="3016"/>
      <c r="R490" s="3016"/>
      <c r="S490" s="3016"/>
      <c r="T490" s="3016"/>
      <c r="U490" s="3016"/>
      <c r="V490" s="3016"/>
      <c r="W490" s="3016"/>
      <c r="X490" s="3016"/>
      <c r="Y490" s="3016"/>
      <c r="Z490" s="3016"/>
      <c r="AA490" s="3016"/>
      <c r="AB490" s="3016"/>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013" t="s">
        <v>627</v>
      </c>
      <c r="I492" s="301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14">
        <f>VLOOKUP($H$492,$AO$427:$AP$429,2,FALSE)</f>
        <v>0</v>
      </c>
      <c r="AK494" s="301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6" t="s">
        <v>1738</v>
      </c>
      <c r="F498" s="3016"/>
      <c r="G498" s="3016"/>
      <c r="H498" s="3016"/>
      <c r="I498" s="3016"/>
      <c r="J498" s="3016"/>
      <c r="K498" s="3016"/>
      <c r="L498" s="3016"/>
      <c r="M498" s="3016"/>
      <c r="N498" s="3016"/>
      <c r="O498" s="3016"/>
      <c r="P498" s="3016"/>
      <c r="Q498" s="3016"/>
      <c r="R498" s="3016"/>
      <c r="S498" s="3016"/>
      <c r="T498" s="3016"/>
      <c r="U498" s="3016"/>
      <c r="V498" s="3016"/>
      <c r="W498" s="3016"/>
      <c r="X498" s="3016"/>
      <c r="Y498" s="3016"/>
      <c r="Z498" s="3016"/>
      <c r="AA498" s="3016"/>
      <c r="AB498" s="3016"/>
      <c r="AC498" s="929"/>
      <c r="AD498" s="929"/>
      <c r="AE498" s="929"/>
      <c r="AF498" s="3126" t="s">
        <v>1636</v>
      </c>
      <c r="AG498" s="3126"/>
      <c r="AH498" s="3126"/>
      <c r="AI498" s="3126"/>
      <c r="AJ498" s="3126"/>
      <c r="AK498" s="3126"/>
      <c r="AL498" s="3126"/>
      <c r="AM498" s="1028"/>
      <c r="AN498" s="1135"/>
      <c r="AT498" s="51"/>
      <c r="AU498" s="51"/>
      <c r="AV498" s="51"/>
      <c r="AW498" s="51"/>
      <c r="AX498" s="51"/>
      <c r="AY498" s="51"/>
      <c r="AZ498" s="51"/>
    </row>
    <row r="499" spans="1:81" s="1136" customFormat="1">
      <c r="A499" s="1062"/>
      <c r="B499" s="929"/>
      <c r="C499" s="1641"/>
      <c r="D499" s="1108"/>
      <c r="E499" s="3016"/>
      <c r="F499" s="3016"/>
      <c r="G499" s="3016"/>
      <c r="H499" s="3016"/>
      <c r="I499" s="3016"/>
      <c r="J499" s="3016"/>
      <c r="K499" s="3016"/>
      <c r="L499" s="3016"/>
      <c r="M499" s="3016"/>
      <c r="N499" s="3016"/>
      <c r="O499" s="3016"/>
      <c r="P499" s="3016"/>
      <c r="Q499" s="3016"/>
      <c r="R499" s="3016"/>
      <c r="S499" s="3016"/>
      <c r="T499" s="3016"/>
      <c r="U499" s="3016"/>
      <c r="V499" s="3016"/>
      <c r="W499" s="3016"/>
      <c r="X499" s="3016"/>
      <c r="Y499" s="3016"/>
      <c r="Z499" s="3016"/>
      <c r="AA499" s="3016"/>
      <c r="AB499" s="3016"/>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6"/>
      <c r="F500" s="3016"/>
      <c r="G500" s="3016"/>
      <c r="H500" s="3016"/>
      <c r="I500" s="3016"/>
      <c r="J500" s="3016"/>
      <c r="K500" s="3016"/>
      <c r="L500" s="3016"/>
      <c r="M500" s="3016"/>
      <c r="N500" s="3016"/>
      <c r="O500" s="3016"/>
      <c r="P500" s="3016"/>
      <c r="Q500" s="3016"/>
      <c r="R500" s="3016"/>
      <c r="S500" s="3016"/>
      <c r="T500" s="3016"/>
      <c r="U500" s="3016"/>
      <c r="V500" s="3016"/>
      <c r="W500" s="3016"/>
      <c r="X500" s="3016"/>
      <c r="Y500" s="3016"/>
      <c r="Z500" s="3016"/>
      <c r="AA500" s="3016"/>
      <c r="AB500" s="3016"/>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6"/>
      <c r="F501" s="3016"/>
      <c r="G501" s="3016"/>
      <c r="H501" s="3016"/>
      <c r="I501" s="3016"/>
      <c r="J501" s="3016"/>
      <c r="K501" s="3016"/>
      <c r="L501" s="3016"/>
      <c r="M501" s="3016"/>
      <c r="N501" s="3016"/>
      <c r="O501" s="3016"/>
      <c r="P501" s="3016"/>
      <c r="Q501" s="3016"/>
      <c r="R501" s="3016"/>
      <c r="S501" s="3016"/>
      <c r="T501" s="3016"/>
      <c r="U501" s="3016"/>
      <c r="V501" s="3016"/>
      <c r="W501" s="3016"/>
      <c r="X501" s="3016"/>
      <c r="Y501" s="3016"/>
      <c r="Z501" s="3016"/>
      <c r="AA501" s="3016"/>
      <c r="AB501" s="3016"/>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6" t="s">
        <v>1739</v>
      </c>
      <c r="F503" s="3016"/>
      <c r="G503" s="3016"/>
      <c r="H503" s="3016"/>
      <c r="I503" s="3016"/>
      <c r="J503" s="3016"/>
      <c r="K503" s="3016"/>
      <c r="L503" s="3016"/>
      <c r="M503" s="3016"/>
      <c r="N503" s="3016"/>
      <c r="O503" s="3016"/>
      <c r="P503" s="3016"/>
      <c r="Q503" s="3016"/>
      <c r="R503" s="3016"/>
      <c r="S503" s="3016"/>
      <c r="T503" s="3016"/>
      <c r="U503" s="3016"/>
      <c r="V503" s="3016"/>
      <c r="W503" s="3016"/>
      <c r="X503" s="3016"/>
      <c r="Y503" s="3016"/>
      <c r="Z503" s="3016"/>
      <c r="AA503" s="3016"/>
      <c r="AB503" s="971"/>
      <c r="AC503" s="929"/>
      <c r="AD503" s="929"/>
      <c r="AE503" s="929"/>
      <c r="AF503" s="3126" t="s">
        <v>1700</v>
      </c>
      <c r="AG503" s="3126"/>
      <c r="AH503" s="3126"/>
      <c r="AI503" s="3126"/>
      <c r="AJ503" s="3126"/>
      <c r="AK503" s="3126"/>
      <c r="AL503" s="3126"/>
      <c r="AM503" s="1028"/>
      <c r="AN503" s="1135"/>
      <c r="AO503" s="126"/>
      <c r="AP503" s="51"/>
    </row>
    <row r="504" spans="1:81" s="1136" customFormat="1">
      <c r="A504" s="1062"/>
      <c r="B504" s="1008"/>
      <c r="C504" s="1641"/>
      <c r="D504" s="1108"/>
      <c r="E504" s="3016"/>
      <c r="F504" s="3016"/>
      <c r="G504" s="3016"/>
      <c r="H504" s="3016"/>
      <c r="I504" s="3016"/>
      <c r="J504" s="3016"/>
      <c r="K504" s="3016"/>
      <c r="L504" s="3016"/>
      <c r="M504" s="3016"/>
      <c r="N504" s="3016"/>
      <c r="O504" s="3016"/>
      <c r="P504" s="3016"/>
      <c r="Q504" s="3016"/>
      <c r="R504" s="3016"/>
      <c r="S504" s="3016"/>
      <c r="T504" s="3016"/>
      <c r="U504" s="3016"/>
      <c r="V504" s="3016"/>
      <c r="W504" s="3016"/>
      <c r="X504" s="3016"/>
      <c r="Y504" s="3016"/>
      <c r="Z504" s="3016"/>
      <c r="AA504" s="3016"/>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6"/>
      <c r="F505" s="3016"/>
      <c r="G505" s="3016"/>
      <c r="H505" s="3016"/>
      <c r="I505" s="3016"/>
      <c r="J505" s="3016"/>
      <c r="K505" s="3016"/>
      <c r="L505" s="3016"/>
      <c r="M505" s="3016"/>
      <c r="N505" s="3016"/>
      <c r="O505" s="3016"/>
      <c r="P505" s="3016"/>
      <c r="Q505" s="3016"/>
      <c r="R505" s="3016"/>
      <c r="S505" s="3016"/>
      <c r="T505" s="3016"/>
      <c r="U505" s="3016"/>
      <c r="V505" s="3016"/>
      <c r="W505" s="3016"/>
      <c r="X505" s="3016"/>
      <c r="Y505" s="3016"/>
      <c r="Z505" s="3016"/>
      <c r="AA505" s="3016"/>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6"/>
      <c r="F506" s="3016"/>
      <c r="G506" s="3016"/>
      <c r="H506" s="3016"/>
      <c r="I506" s="3016"/>
      <c r="J506" s="3016"/>
      <c r="K506" s="3016"/>
      <c r="L506" s="3016"/>
      <c r="M506" s="3016"/>
      <c r="N506" s="3016"/>
      <c r="O506" s="3016"/>
      <c r="P506" s="3016"/>
      <c r="Q506" s="3016"/>
      <c r="R506" s="3016"/>
      <c r="S506" s="3016"/>
      <c r="T506" s="3016"/>
      <c r="U506" s="3016"/>
      <c r="V506" s="3016"/>
      <c r="W506" s="3016"/>
      <c r="X506" s="3016"/>
      <c r="Y506" s="3016"/>
      <c r="Z506" s="3016"/>
      <c r="AA506" s="3016"/>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013" t="s">
        <v>627</v>
      </c>
      <c r="I508" s="301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14">
        <f>VLOOKUP($H$508,$AO$441:$AP$443,2,FALSE)</f>
        <v>0</v>
      </c>
      <c r="AK510" s="301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6" t="s">
        <v>1741</v>
      </c>
      <c r="F514" s="3016"/>
      <c r="G514" s="3016"/>
      <c r="H514" s="3016"/>
      <c r="I514" s="3016"/>
      <c r="J514" s="3016"/>
      <c r="K514" s="3016"/>
      <c r="L514" s="3016"/>
      <c r="M514" s="3016"/>
      <c r="N514" s="3016"/>
      <c r="O514" s="3016"/>
      <c r="P514" s="3016"/>
      <c r="Q514" s="3016"/>
      <c r="R514" s="3016"/>
      <c r="S514" s="3016"/>
      <c r="T514" s="3016"/>
      <c r="U514" s="3016"/>
      <c r="V514" s="3016"/>
      <c r="W514" s="3016"/>
      <c r="X514" s="3016"/>
      <c r="Y514" s="3016"/>
      <c r="Z514" s="3016"/>
      <c r="AA514" s="3016"/>
      <c r="AB514" s="3016"/>
      <c r="AC514" s="929"/>
      <c r="AD514" s="929"/>
      <c r="AE514" s="929"/>
      <c r="AF514" s="3126" t="s">
        <v>1700</v>
      </c>
      <c r="AG514" s="3126"/>
      <c r="AH514" s="3126"/>
      <c r="AI514" s="3126"/>
      <c r="AJ514" s="3126"/>
      <c r="AK514" s="3126"/>
      <c r="AL514" s="312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6"/>
      <c r="F515" s="3016"/>
      <c r="G515" s="3016"/>
      <c r="H515" s="3016"/>
      <c r="I515" s="3016"/>
      <c r="J515" s="3016"/>
      <c r="K515" s="3016"/>
      <c r="L515" s="3016"/>
      <c r="M515" s="3016"/>
      <c r="N515" s="3016"/>
      <c r="O515" s="3016"/>
      <c r="P515" s="3016"/>
      <c r="Q515" s="3016"/>
      <c r="R515" s="3016"/>
      <c r="S515" s="3016"/>
      <c r="T515" s="3016"/>
      <c r="U515" s="3016"/>
      <c r="V515" s="3016"/>
      <c r="W515" s="3016"/>
      <c r="X515" s="3016"/>
      <c r="Y515" s="3016"/>
      <c r="Z515" s="3016"/>
      <c r="AA515" s="3016"/>
      <c r="AB515" s="3016"/>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6" t="s">
        <v>1742</v>
      </c>
      <c r="F517" s="3016"/>
      <c r="G517" s="3016"/>
      <c r="H517" s="3016"/>
      <c r="I517" s="3016"/>
      <c r="J517" s="3016"/>
      <c r="K517" s="3016"/>
      <c r="L517" s="3016"/>
      <c r="M517" s="3016"/>
      <c r="N517" s="3016"/>
      <c r="O517" s="3016"/>
      <c r="P517" s="3016"/>
      <c r="Q517" s="3016"/>
      <c r="R517" s="3016"/>
      <c r="S517" s="3016"/>
      <c r="T517" s="3016"/>
      <c r="U517" s="3016"/>
      <c r="V517" s="3016"/>
      <c r="W517" s="3016"/>
      <c r="X517" s="3016"/>
      <c r="Y517" s="3016"/>
      <c r="Z517" s="3016"/>
      <c r="AA517" s="3016"/>
      <c r="AB517" s="3016"/>
      <c r="AC517" s="929"/>
      <c r="AD517" s="929"/>
      <c r="AE517" s="929"/>
      <c r="AF517" s="3126" t="s">
        <v>1719</v>
      </c>
      <c r="AG517" s="3126"/>
      <c r="AH517" s="3126"/>
      <c r="AI517" s="3126"/>
      <c r="AJ517" s="3126"/>
      <c r="AK517" s="3126"/>
      <c r="AL517" s="312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6"/>
      <c r="F518" s="3016"/>
      <c r="G518" s="3016"/>
      <c r="H518" s="3016"/>
      <c r="I518" s="3016"/>
      <c r="J518" s="3016"/>
      <c r="K518" s="3016"/>
      <c r="L518" s="3016"/>
      <c r="M518" s="3016"/>
      <c r="N518" s="3016"/>
      <c r="O518" s="3016"/>
      <c r="P518" s="3016"/>
      <c r="Q518" s="3016"/>
      <c r="R518" s="3016"/>
      <c r="S518" s="3016"/>
      <c r="T518" s="3016"/>
      <c r="U518" s="3016"/>
      <c r="V518" s="3016"/>
      <c r="W518" s="3016"/>
      <c r="X518" s="3016"/>
      <c r="Y518" s="3016"/>
      <c r="Z518" s="3016"/>
      <c r="AA518" s="3016"/>
      <c r="AB518" s="3016"/>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013" t="s">
        <v>627</v>
      </c>
      <c r="I520" s="301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14">
        <f>VLOOKUP($H$520,$AO$455:$AP$457,2,FALSE)</f>
        <v>0</v>
      </c>
      <c r="AK522" s="301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65" customHeight="1">
      <c r="A526" s="1062"/>
      <c r="B526" s="1037"/>
      <c r="C526" s="1653"/>
      <c r="D526" s="1108" t="s">
        <v>726</v>
      </c>
      <c r="E526" s="3016" t="s">
        <v>2200</v>
      </c>
      <c r="F526" s="3016"/>
      <c r="G526" s="3016"/>
      <c r="H526" s="3016"/>
      <c r="I526" s="3016"/>
      <c r="J526" s="3016"/>
      <c r="K526" s="3016"/>
      <c r="L526" s="3016"/>
      <c r="M526" s="3016"/>
      <c r="N526" s="3016"/>
      <c r="O526" s="3016"/>
      <c r="P526" s="3016"/>
      <c r="Q526" s="3016"/>
      <c r="R526" s="3016"/>
      <c r="S526" s="3016"/>
      <c r="T526" s="3016"/>
      <c r="U526" s="3016"/>
      <c r="V526" s="3016"/>
      <c r="W526" s="3016"/>
      <c r="X526" s="3016"/>
      <c r="Y526" s="3016"/>
      <c r="Z526" s="3016"/>
      <c r="AA526" s="3016"/>
      <c r="AB526" s="3016"/>
      <c r="AC526" s="3016"/>
      <c r="AD526" s="3016"/>
      <c r="AE526" s="929"/>
      <c r="AF526" s="3126" t="s">
        <v>1700</v>
      </c>
      <c r="AG526" s="3126"/>
      <c r="AH526" s="3126"/>
      <c r="AI526" s="3126"/>
      <c r="AJ526" s="3126"/>
      <c r="AK526" s="3126"/>
      <c r="AL526" s="3126"/>
      <c r="AM526" s="1033"/>
      <c r="AN526" s="1135"/>
    </row>
    <row r="527" spans="1:74" s="1136" customFormat="1" ht="13.65" customHeight="1">
      <c r="A527" s="1062"/>
      <c r="B527" s="1037"/>
      <c r="C527" s="1653"/>
      <c r="D527" s="1108"/>
      <c r="E527" s="3016"/>
      <c r="F527" s="3016"/>
      <c r="G527" s="3016"/>
      <c r="H527" s="3016"/>
      <c r="I527" s="3016"/>
      <c r="J527" s="3016"/>
      <c r="K527" s="3016"/>
      <c r="L527" s="3016"/>
      <c r="M527" s="3016"/>
      <c r="N527" s="3016"/>
      <c r="O527" s="3016"/>
      <c r="P527" s="3016"/>
      <c r="Q527" s="3016"/>
      <c r="R527" s="3016"/>
      <c r="S527" s="3016"/>
      <c r="T527" s="3016"/>
      <c r="U527" s="3016"/>
      <c r="V527" s="3016"/>
      <c r="W527" s="3016"/>
      <c r="X527" s="3016"/>
      <c r="Y527" s="3016"/>
      <c r="Z527" s="3016"/>
      <c r="AA527" s="3016"/>
      <c r="AB527" s="3016"/>
      <c r="AC527" s="3016"/>
      <c r="AD527" s="3016"/>
      <c r="AE527" s="929"/>
      <c r="AF527" s="1598"/>
      <c r="AG527" s="1598"/>
      <c r="AH527" s="1598"/>
      <c r="AI527" s="1598"/>
      <c r="AJ527" s="1598"/>
      <c r="AK527" s="1598"/>
      <c r="AL527" s="1598"/>
      <c r="AM527" s="1033"/>
      <c r="AN527" s="1135"/>
    </row>
    <row r="528" spans="1:74" s="1136" customFormat="1">
      <c r="A528" s="1062"/>
      <c r="B528" s="1037"/>
      <c r="C528" s="1653"/>
      <c r="D528" s="1108"/>
      <c r="E528" s="3016"/>
      <c r="F528" s="3016"/>
      <c r="G528" s="3016"/>
      <c r="H528" s="3016"/>
      <c r="I528" s="3016"/>
      <c r="J528" s="3016"/>
      <c r="K528" s="3016"/>
      <c r="L528" s="3016"/>
      <c r="M528" s="3016"/>
      <c r="N528" s="3016"/>
      <c r="O528" s="3016"/>
      <c r="P528" s="3016"/>
      <c r="Q528" s="3016"/>
      <c r="R528" s="3016"/>
      <c r="S528" s="3016"/>
      <c r="T528" s="3016"/>
      <c r="U528" s="3016"/>
      <c r="V528" s="3016"/>
      <c r="W528" s="3016"/>
      <c r="X528" s="3016"/>
      <c r="Y528" s="3016"/>
      <c r="Z528" s="3016"/>
      <c r="AA528" s="3016"/>
      <c r="AB528" s="3016"/>
      <c r="AC528" s="3016"/>
      <c r="AD528" s="3016"/>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6"/>
      <c r="F529" s="3016"/>
      <c r="G529" s="3016"/>
      <c r="H529" s="3016"/>
      <c r="I529" s="3016"/>
      <c r="J529" s="3016"/>
      <c r="K529" s="3016"/>
      <c r="L529" s="3016"/>
      <c r="M529" s="3016"/>
      <c r="N529" s="3016"/>
      <c r="O529" s="3016"/>
      <c r="P529" s="3016"/>
      <c r="Q529" s="3016"/>
      <c r="R529" s="3016"/>
      <c r="S529" s="3016"/>
      <c r="T529" s="3016"/>
      <c r="U529" s="3016"/>
      <c r="V529" s="3016"/>
      <c r="W529" s="3016"/>
      <c r="X529" s="3016"/>
      <c r="Y529" s="3016"/>
      <c r="Z529" s="3016"/>
      <c r="AA529" s="3016"/>
      <c r="AB529" s="3016"/>
      <c r="AC529" s="3016"/>
      <c r="AD529" s="3016"/>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7" t="s">
        <v>2209</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9"/>
      <c r="AF531" s="3126" t="s">
        <v>1636</v>
      </c>
      <c r="AG531" s="3126"/>
      <c r="AH531" s="3126"/>
      <c r="AI531" s="3126"/>
      <c r="AJ531" s="3126"/>
      <c r="AK531" s="3126"/>
      <c r="AL531" s="3126"/>
      <c r="AM531" s="1033"/>
      <c r="AN531" s="1002"/>
    </row>
    <row r="532" spans="1:81" s="945" customFormat="1" ht="12.75" customHeight="1">
      <c r="A532" s="1062"/>
      <c r="B532" s="1037"/>
      <c r="C532" s="1653"/>
      <c r="D532" s="1108"/>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013" t="s">
        <v>627</v>
      </c>
      <c r="I536" s="301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14">
        <f>VLOOKUP($H$536,$AP$477:$AQ$479,2,FALSE)</f>
        <v>0</v>
      </c>
      <c r="AK538" s="301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3"/>
      <c r="D542" s="1108" t="s">
        <v>726</v>
      </c>
      <c r="E542" s="3016" t="s">
        <v>2199</v>
      </c>
      <c r="F542" s="3016"/>
      <c r="G542" s="3016"/>
      <c r="H542" s="3016"/>
      <c r="I542" s="3016"/>
      <c r="J542" s="3016"/>
      <c r="K542" s="3016"/>
      <c r="L542" s="3016"/>
      <c r="M542" s="3016"/>
      <c r="N542" s="3016"/>
      <c r="O542" s="3016"/>
      <c r="P542" s="3016"/>
      <c r="Q542" s="3016"/>
      <c r="R542" s="3016"/>
      <c r="S542" s="3016"/>
      <c r="T542" s="3016"/>
      <c r="U542" s="3016"/>
      <c r="V542" s="3016"/>
      <c r="W542" s="3016"/>
      <c r="X542" s="3016"/>
      <c r="Y542" s="3016"/>
      <c r="Z542" s="3016"/>
      <c r="AA542" s="3016"/>
      <c r="AB542" s="3016"/>
      <c r="AC542" s="3016"/>
      <c r="AD542" s="3016"/>
      <c r="AE542" s="929"/>
      <c r="AF542" s="3126" t="s">
        <v>1746</v>
      </c>
      <c r="AG542" s="3126"/>
      <c r="AH542" s="3126"/>
      <c r="AI542" s="3126"/>
      <c r="AJ542" s="3126"/>
      <c r="AK542" s="3126"/>
      <c r="AL542" s="3126"/>
      <c r="AM542" s="1033"/>
      <c r="AN542" s="1135"/>
      <c r="AO542" s="1120" t="s">
        <v>579</v>
      </c>
      <c r="AP542" s="945">
        <v>8</v>
      </c>
      <c r="AT542" s="1145"/>
      <c r="AU542" s="1145"/>
      <c r="AV542" s="1145"/>
      <c r="AW542" s="1145"/>
      <c r="AX542" s="1145"/>
      <c r="AY542" s="1145"/>
      <c r="AZ542" s="1145"/>
    </row>
    <row r="543" spans="1:81" s="1136" customFormat="1" ht="13.65" customHeight="1">
      <c r="A543" s="1062"/>
      <c r="B543" s="1037"/>
      <c r="C543" s="1653"/>
      <c r="D543" s="1108"/>
      <c r="E543" s="3016"/>
      <c r="F543" s="3016"/>
      <c r="G543" s="3016"/>
      <c r="H543" s="3016"/>
      <c r="I543" s="3016"/>
      <c r="J543" s="3016"/>
      <c r="K543" s="3016"/>
      <c r="L543" s="3016"/>
      <c r="M543" s="3016"/>
      <c r="N543" s="3016"/>
      <c r="O543" s="3016"/>
      <c r="P543" s="3016"/>
      <c r="Q543" s="3016"/>
      <c r="R543" s="3016"/>
      <c r="S543" s="3016"/>
      <c r="T543" s="3016"/>
      <c r="U543" s="3016"/>
      <c r="V543" s="3016"/>
      <c r="W543" s="3016"/>
      <c r="X543" s="3016"/>
      <c r="Y543" s="3016"/>
      <c r="Z543" s="3016"/>
      <c r="AA543" s="3016"/>
      <c r="AB543" s="3016"/>
      <c r="AC543" s="3016"/>
      <c r="AD543" s="3016"/>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6"/>
      <c r="F544" s="3016"/>
      <c r="G544" s="3016"/>
      <c r="H544" s="3016"/>
      <c r="I544" s="3016"/>
      <c r="J544" s="3016"/>
      <c r="K544" s="3016"/>
      <c r="L544" s="3016"/>
      <c r="M544" s="3016"/>
      <c r="N544" s="3016"/>
      <c r="O544" s="3016"/>
      <c r="P544" s="3016"/>
      <c r="Q544" s="3016"/>
      <c r="R544" s="3016"/>
      <c r="S544" s="3016"/>
      <c r="T544" s="3016"/>
      <c r="U544" s="3016"/>
      <c r="V544" s="3016"/>
      <c r="W544" s="3016"/>
      <c r="X544" s="3016"/>
      <c r="Y544" s="3016"/>
      <c r="Z544" s="3016"/>
      <c r="AA544" s="3016"/>
      <c r="AB544" s="3016"/>
      <c r="AC544" s="3016"/>
      <c r="AD544" s="3016"/>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6"/>
      <c r="F545" s="3016"/>
      <c r="G545" s="3016"/>
      <c r="H545" s="3016"/>
      <c r="I545" s="3016"/>
      <c r="J545" s="3016"/>
      <c r="K545" s="3016"/>
      <c r="L545" s="3016"/>
      <c r="M545" s="3016"/>
      <c r="N545" s="3016"/>
      <c r="O545" s="3016"/>
      <c r="P545" s="3016"/>
      <c r="Q545" s="3016"/>
      <c r="R545" s="3016"/>
      <c r="S545" s="3016"/>
      <c r="T545" s="3016"/>
      <c r="U545" s="3016"/>
      <c r="V545" s="3016"/>
      <c r="W545" s="3016"/>
      <c r="X545" s="3016"/>
      <c r="Y545" s="3016"/>
      <c r="Z545" s="3016"/>
      <c r="AA545" s="3016"/>
      <c r="AB545" s="3016"/>
      <c r="AC545" s="3016"/>
      <c r="AD545" s="3016"/>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013" t="s">
        <v>627</v>
      </c>
      <c r="I547" s="301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14">
        <f>VLOOKUP($H$547,$AO$541:$AP$542,2,FALSE)</f>
        <v>0</v>
      </c>
      <c r="AK549" s="301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14">
        <f>IF(($AJ$382+$AJ$401+$AJ$413+$AJ$448+$AJ$468+$AJ$482+$AJ$494+$AJ$510+$AJ$522+$AJ$538+AJ549)&gt;10,10,($AJ$382+$AJ$401+$AJ$413+$AJ$448+$AJ$468+$AJ$482+$AJ$494+$AJ$510+$AJ$522+$AJ$538+AJ549))</f>
        <v>0</v>
      </c>
      <c r="AL551" s="3036"/>
      <c r="AM551" s="3015"/>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14">
        <f>IF((AK320+AK551)&gt;20,20,(AK320+AK551))</f>
        <v>20</v>
      </c>
      <c r="AL553" s="3036"/>
      <c r="AM553" s="3015"/>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0" t="s">
        <v>1598</v>
      </c>
      <c r="AF556" s="3090"/>
      <c r="AG556" s="3090"/>
      <c r="AH556" s="3090"/>
      <c r="AI556" s="3090"/>
      <c r="AJ556" s="3090"/>
      <c r="AK556" s="3090"/>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3" t="s">
        <v>1751</v>
      </c>
      <c r="D558" s="3003"/>
      <c r="E558" s="3003"/>
      <c r="F558" s="3003"/>
      <c r="G558" s="3003"/>
      <c r="H558" s="3003"/>
      <c r="I558" s="3003"/>
      <c r="J558" s="3003"/>
      <c r="K558" s="3003"/>
      <c r="L558" s="3003"/>
      <c r="M558" s="3003"/>
      <c r="N558" s="3003"/>
      <c r="O558" s="3003"/>
      <c r="P558" s="3003"/>
      <c r="Q558" s="3003"/>
      <c r="R558" s="3003"/>
      <c r="S558" s="3003"/>
      <c r="T558" s="3003"/>
      <c r="U558" s="3003"/>
      <c r="V558" s="3003"/>
      <c r="W558" s="3003"/>
      <c r="X558" s="3003"/>
      <c r="Y558" s="3003"/>
      <c r="Z558" s="3003"/>
      <c r="AA558" s="3003"/>
      <c r="AB558" s="3003"/>
      <c r="AC558" s="3003"/>
      <c r="AD558" s="3003"/>
      <c r="AE558" s="3003"/>
      <c r="AF558" s="3003"/>
      <c r="AG558" s="3003"/>
      <c r="AH558" s="3003"/>
      <c r="AI558" s="3003"/>
      <c r="AJ558" s="3003"/>
      <c r="AK558" s="1029"/>
      <c r="AL558" s="1029"/>
      <c r="AM558" s="1029"/>
      <c r="AN558" s="1002"/>
    </row>
    <row r="559" spans="1:81" s="945" customFormat="1" ht="12.75" customHeight="1">
      <c r="A559" s="1029"/>
      <c r="B559" s="1030"/>
      <c r="C559" s="3003"/>
      <c r="D559" s="3003"/>
      <c r="E559" s="3003"/>
      <c r="F559" s="3003"/>
      <c r="G559" s="3003"/>
      <c r="H559" s="3003"/>
      <c r="I559" s="3003"/>
      <c r="J559" s="3003"/>
      <c r="K559" s="3003"/>
      <c r="L559" s="3003"/>
      <c r="M559" s="3003"/>
      <c r="N559" s="3003"/>
      <c r="O559" s="3003"/>
      <c r="P559" s="3003"/>
      <c r="Q559" s="3003"/>
      <c r="R559" s="3003"/>
      <c r="S559" s="3003"/>
      <c r="T559" s="3003"/>
      <c r="U559" s="3003"/>
      <c r="V559" s="3003"/>
      <c r="W559" s="3003"/>
      <c r="X559" s="3003"/>
      <c r="Y559" s="3003"/>
      <c r="Z559" s="3003"/>
      <c r="AA559" s="3003"/>
      <c r="AB559" s="3003"/>
      <c r="AC559" s="3003"/>
      <c r="AD559" s="3003"/>
      <c r="AE559" s="3003"/>
      <c r="AF559" s="3003"/>
      <c r="AG559" s="3003"/>
      <c r="AH559" s="3003"/>
      <c r="AI559" s="3003"/>
      <c r="AJ559" s="3003"/>
      <c r="AK559" s="1029"/>
      <c r="AL559" s="1029"/>
      <c r="AM559" s="1029"/>
      <c r="AN559" s="1002"/>
    </row>
    <row r="560" spans="1:81" s="945" customFormat="1" ht="12.75" customHeight="1">
      <c r="A560" s="1029"/>
      <c r="B560" s="1030"/>
      <c r="C560" s="3003"/>
      <c r="D560" s="3003"/>
      <c r="E560" s="3003"/>
      <c r="F560" s="3003"/>
      <c r="G560" s="3003"/>
      <c r="H560" s="3003"/>
      <c r="I560" s="3003"/>
      <c r="J560" s="3003"/>
      <c r="K560" s="3003"/>
      <c r="L560" s="3003"/>
      <c r="M560" s="3003"/>
      <c r="N560" s="3003"/>
      <c r="O560" s="3003"/>
      <c r="P560" s="3003"/>
      <c r="Q560" s="3003"/>
      <c r="R560" s="3003"/>
      <c r="S560" s="3003"/>
      <c r="T560" s="3003"/>
      <c r="U560" s="3003"/>
      <c r="V560" s="3003"/>
      <c r="W560" s="3003"/>
      <c r="X560" s="3003"/>
      <c r="Y560" s="3003"/>
      <c r="Z560" s="3003"/>
      <c r="AA560" s="3003"/>
      <c r="AB560" s="3003"/>
      <c r="AC560" s="3003"/>
      <c r="AD560" s="3003"/>
      <c r="AE560" s="3003"/>
      <c r="AF560" s="3003"/>
      <c r="AG560" s="3003"/>
      <c r="AH560" s="3003"/>
      <c r="AI560" s="3003"/>
      <c r="AJ560" s="3003"/>
      <c r="AK560" s="1029"/>
      <c r="AL560" s="1029"/>
      <c r="AM560" s="1029"/>
      <c r="AN560" s="1002"/>
      <c r="AQ560" s="1137"/>
      <c r="AR560" s="1004"/>
    </row>
    <row r="561" spans="1:46" s="945" customFormat="1" ht="12.75" customHeight="1">
      <c r="A561" s="1029"/>
      <c r="B561" s="1120"/>
      <c r="C561" s="3003"/>
      <c r="D561" s="3003"/>
      <c r="E561" s="3003"/>
      <c r="F561" s="3003"/>
      <c r="G561" s="3003"/>
      <c r="H561" s="3003"/>
      <c r="I561" s="3003"/>
      <c r="J561" s="3003"/>
      <c r="K561" s="3003"/>
      <c r="L561" s="3003"/>
      <c r="M561" s="3003"/>
      <c r="N561" s="3003"/>
      <c r="O561" s="3003"/>
      <c r="P561" s="3003"/>
      <c r="Q561" s="3003"/>
      <c r="R561" s="3003"/>
      <c r="S561" s="3003"/>
      <c r="T561" s="3003"/>
      <c r="U561" s="3003"/>
      <c r="V561" s="3003"/>
      <c r="W561" s="3003"/>
      <c r="X561" s="3003"/>
      <c r="Y561" s="3003"/>
      <c r="Z561" s="3003"/>
      <c r="AA561" s="3003"/>
      <c r="AB561" s="3003"/>
      <c r="AC561" s="3003"/>
      <c r="AD561" s="3003"/>
      <c r="AE561" s="3003"/>
      <c r="AF561" s="3003"/>
      <c r="AG561" s="3003"/>
      <c r="AH561" s="3003"/>
      <c r="AI561" s="3003"/>
      <c r="AJ561" s="3003"/>
      <c r="AK561" s="1029"/>
      <c r="AL561" s="1029"/>
      <c r="AM561" s="1029"/>
      <c r="AN561" s="1002"/>
      <c r="AQ561" s="1137"/>
      <c r="AR561" s="1004"/>
    </row>
    <row r="562" spans="1:46" s="945" customFormat="1" ht="12.45" customHeight="1">
      <c r="A562" s="1029"/>
      <c r="B562" s="1120"/>
      <c r="C562" s="3003"/>
      <c r="D562" s="3003"/>
      <c r="E562" s="3003"/>
      <c r="F562" s="3003"/>
      <c r="G562" s="3003"/>
      <c r="H562" s="3003"/>
      <c r="I562" s="3003"/>
      <c r="J562" s="3003"/>
      <c r="K562" s="3003"/>
      <c r="L562" s="3003"/>
      <c r="M562" s="3003"/>
      <c r="N562" s="3003"/>
      <c r="O562" s="3003"/>
      <c r="P562" s="3003"/>
      <c r="Q562" s="3003"/>
      <c r="R562" s="3003"/>
      <c r="S562" s="3003"/>
      <c r="T562" s="3003"/>
      <c r="U562" s="3003"/>
      <c r="V562" s="3003"/>
      <c r="W562" s="3003"/>
      <c r="X562" s="3003"/>
      <c r="Y562" s="3003"/>
      <c r="Z562" s="3003"/>
      <c r="AA562" s="3003"/>
      <c r="AB562" s="3003"/>
      <c r="AC562" s="3003"/>
      <c r="AD562" s="3003"/>
      <c r="AE562" s="3003"/>
      <c r="AF562" s="3003"/>
      <c r="AG562" s="3003"/>
      <c r="AH562" s="3003"/>
      <c r="AI562" s="3003"/>
      <c r="AJ562" s="3003"/>
      <c r="AK562" s="1029"/>
      <c r="AL562" s="1029"/>
      <c r="AM562" s="1029"/>
      <c r="AN562" s="1002"/>
      <c r="AQ562" s="1137"/>
      <c r="AR562" s="1137"/>
    </row>
    <row r="563" spans="1:46" s="945" customFormat="1" ht="24.9" customHeight="1">
      <c r="A563" s="1029"/>
      <c r="B563" s="1120"/>
      <c r="C563" s="3003" t="s">
        <v>1752</v>
      </c>
      <c r="D563" s="3003"/>
      <c r="E563" s="3003"/>
      <c r="F563" s="3003"/>
      <c r="G563" s="3003"/>
      <c r="H563" s="3003"/>
      <c r="I563" s="3003"/>
      <c r="J563" s="3003"/>
      <c r="K563" s="3003"/>
      <c r="L563" s="3003"/>
      <c r="M563" s="3003"/>
      <c r="N563" s="3003"/>
      <c r="O563" s="3003"/>
      <c r="P563" s="3003"/>
      <c r="Q563" s="3003"/>
      <c r="R563" s="3003"/>
      <c r="S563" s="3003"/>
      <c r="T563" s="3003"/>
      <c r="U563" s="3003"/>
      <c r="V563" s="3003"/>
      <c r="W563" s="3003"/>
      <c r="X563" s="3003"/>
      <c r="Y563" s="3003"/>
      <c r="Z563" s="3003"/>
      <c r="AA563" s="3003"/>
      <c r="AB563" s="3003"/>
      <c r="AC563" s="3003"/>
      <c r="AD563" s="3003"/>
      <c r="AE563" s="3003"/>
      <c r="AF563" s="3003"/>
      <c r="AG563" s="3003"/>
      <c r="AH563" s="3003"/>
      <c r="AI563" s="3003"/>
      <c r="AJ563" s="3003"/>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3" t="s">
        <v>2456</v>
      </c>
      <c r="D565" s="3003"/>
      <c r="E565" s="3003"/>
      <c r="F565" s="3003"/>
      <c r="G565" s="3003"/>
      <c r="H565" s="3003"/>
      <c r="I565" s="3003"/>
      <c r="J565" s="3003"/>
      <c r="K565" s="3003"/>
      <c r="L565" s="3003"/>
      <c r="M565" s="3003"/>
      <c r="N565" s="3003"/>
      <c r="O565" s="3003"/>
      <c r="P565" s="3003"/>
      <c r="Q565" s="3003"/>
      <c r="R565" s="3003"/>
      <c r="S565" s="3003"/>
      <c r="T565" s="3003"/>
      <c r="U565" s="3003"/>
      <c r="V565" s="3003"/>
      <c r="W565" s="3003"/>
      <c r="X565" s="3003"/>
      <c r="Y565" s="3003"/>
      <c r="Z565" s="3003"/>
      <c r="AA565" s="3003"/>
      <c r="AB565" s="3003"/>
      <c r="AC565" s="3003"/>
      <c r="AD565" s="3003"/>
      <c r="AE565" s="3003"/>
      <c r="AF565" s="3003"/>
      <c r="AG565" s="3003"/>
      <c r="AH565" s="3003"/>
      <c r="AI565" s="3003"/>
      <c r="AJ565" s="3003"/>
      <c r="AK565" s="1029"/>
      <c r="AL565" s="1029"/>
      <c r="AM565" s="1029"/>
      <c r="AN565" s="1002"/>
      <c r="AQ565" s="1137"/>
      <c r="AR565" s="1137"/>
    </row>
    <row r="566" spans="1:46" s="945" customFormat="1" ht="30" customHeight="1">
      <c r="A566" s="1029"/>
      <c r="B566" s="1120"/>
      <c r="C566" s="3003"/>
      <c r="D566" s="3003"/>
      <c r="E566" s="3003"/>
      <c r="F566" s="3003"/>
      <c r="G566" s="3003"/>
      <c r="H566" s="3003"/>
      <c r="I566" s="3003"/>
      <c r="J566" s="3003"/>
      <c r="K566" s="3003"/>
      <c r="L566" s="3003"/>
      <c r="M566" s="3003"/>
      <c r="N566" s="3003"/>
      <c r="O566" s="3003"/>
      <c r="P566" s="3003"/>
      <c r="Q566" s="3003"/>
      <c r="R566" s="3003"/>
      <c r="S566" s="3003"/>
      <c r="T566" s="3003"/>
      <c r="U566" s="3003"/>
      <c r="V566" s="3003"/>
      <c r="W566" s="3003"/>
      <c r="X566" s="3003"/>
      <c r="Y566" s="3003"/>
      <c r="Z566" s="3003"/>
      <c r="AA566" s="3003"/>
      <c r="AB566" s="3003"/>
      <c r="AC566" s="3003"/>
      <c r="AD566" s="3003"/>
      <c r="AE566" s="3003"/>
      <c r="AF566" s="3003"/>
      <c r="AG566" s="3003"/>
      <c r="AH566" s="3003"/>
      <c r="AI566" s="3003"/>
      <c r="AJ566" s="3003"/>
      <c r="AK566" s="1029"/>
      <c r="AL566" s="1029"/>
      <c r="AM566" s="1029"/>
      <c r="AN566" s="1002"/>
      <c r="AQ566" s="1004"/>
      <c r="AR566" s="1137"/>
    </row>
    <row r="567" spans="1:46" s="945" customFormat="1" ht="12.75" customHeight="1">
      <c r="A567" s="1029"/>
      <c r="B567" s="1120"/>
      <c r="C567" s="3003"/>
      <c r="D567" s="3003"/>
      <c r="E567" s="3003"/>
      <c r="F567" s="3003"/>
      <c r="G567" s="3003"/>
      <c r="H567" s="3003"/>
      <c r="I567" s="3003"/>
      <c r="J567" s="3003"/>
      <c r="K567" s="3003"/>
      <c r="L567" s="3003"/>
      <c r="M567" s="3003"/>
      <c r="N567" s="3003"/>
      <c r="O567" s="3003"/>
      <c r="P567" s="3003"/>
      <c r="Q567" s="3003"/>
      <c r="R567" s="3003"/>
      <c r="S567" s="3003"/>
      <c r="T567" s="3003"/>
      <c r="U567" s="3003"/>
      <c r="V567" s="3003"/>
      <c r="W567" s="3003"/>
      <c r="X567" s="3003"/>
      <c r="Y567" s="3003"/>
      <c r="Z567" s="3003"/>
      <c r="AA567" s="3003"/>
      <c r="AB567" s="3003"/>
      <c r="AC567" s="3003"/>
      <c r="AD567" s="3003"/>
      <c r="AE567" s="3003"/>
      <c r="AF567" s="3003"/>
      <c r="AG567" s="3003"/>
      <c r="AH567" s="3003"/>
      <c r="AI567" s="3003"/>
      <c r="AJ567" s="3003"/>
      <c r="AK567" s="1029"/>
      <c r="AL567" s="1029"/>
      <c r="AM567" s="1029"/>
      <c r="AN567" s="1002"/>
      <c r="AQ567" s="1004"/>
      <c r="AR567" s="1137"/>
    </row>
    <row r="568" spans="1:46" s="945" customFormat="1" ht="12.75" customHeight="1">
      <c r="A568" s="1029"/>
      <c r="B568" s="1120"/>
      <c r="C568" s="3003" t="s">
        <v>1753</v>
      </c>
      <c r="D568" s="3003"/>
      <c r="E568" s="3003"/>
      <c r="F568" s="3003"/>
      <c r="G568" s="3003"/>
      <c r="H568" s="3003"/>
      <c r="I568" s="3003"/>
      <c r="J568" s="3003"/>
      <c r="K568" s="3003"/>
      <c r="L568" s="3003"/>
      <c r="M568" s="3003"/>
      <c r="N568" s="3003"/>
      <c r="O568" s="3003"/>
      <c r="P568" s="3003"/>
      <c r="Q568" s="3003"/>
      <c r="R568" s="3003"/>
      <c r="S568" s="3003"/>
      <c r="T568" s="3003"/>
      <c r="U568" s="3003"/>
      <c r="V568" s="3003"/>
      <c r="W568" s="3003"/>
      <c r="X568" s="3003"/>
      <c r="Y568" s="3003"/>
      <c r="Z568" s="3003"/>
      <c r="AA568" s="3003"/>
      <c r="AB568" s="3003"/>
      <c r="AC568" s="3003"/>
      <c r="AD568" s="3003"/>
      <c r="AE568" s="3003"/>
      <c r="AF568" s="3003"/>
      <c r="AG568" s="3003"/>
      <c r="AH568" s="3003"/>
      <c r="AI568" s="3003"/>
      <c r="AJ568" s="3003"/>
      <c r="AK568" s="1029"/>
      <c r="AL568" s="1029"/>
      <c r="AM568" s="1029"/>
      <c r="AN568" s="1002"/>
      <c r="AQ568" s="1137"/>
      <c r="AR568" s="1137"/>
    </row>
    <row r="569" spans="1:46" s="945" customFormat="1" ht="12.75" customHeight="1">
      <c r="A569" s="1029"/>
      <c r="B569" s="1120"/>
      <c r="C569" s="3003"/>
      <c r="D569" s="3003"/>
      <c r="E569" s="3003"/>
      <c r="F569" s="3003"/>
      <c r="G569" s="3003"/>
      <c r="H569" s="3003"/>
      <c r="I569" s="3003"/>
      <c r="J569" s="3003"/>
      <c r="K569" s="3003"/>
      <c r="L569" s="3003"/>
      <c r="M569" s="3003"/>
      <c r="N569" s="3003"/>
      <c r="O569" s="3003"/>
      <c r="P569" s="3003"/>
      <c r="Q569" s="3003"/>
      <c r="R569" s="3003"/>
      <c r="S569" s="3003"/>
      <c r="T569" s="3003"/>
      <c r="U569" s="3003"/>
      <c r="V569" s="3003"/>
      <c r="W569" s="3003"/>
      <c r="X569" s="3003"/>
      <c r="Y569" s="3003"/>
      <c r="Z569" s="3003"/>
      <c r="AA569" s="3003"/>
      <c r="AB569" s="3003"/>
      <c r="AC569" s="3003"/>
      <c r="AD569" s="3003"/>
      <c r="AE569" s="3003"/>
      <c r="AF569" s="3003"/>
      <c r="AG569" s="3003"/>
      <c r="AH569" s="3003"/>
      <c r="AI569" s="3003"/>
      <c r="AJ569" s="3003"/>
      <c r="AK569" s="1029"/>
      <c r="AL569" s="1029"/>
      <c r="AM569" s="1029"/>
      <c r="AN569" s="1002"/>
      <c r="AQ569" s="1137"/>
      <c r="AR569" s="1137"/>
    </row>
    <row r="570" spans="1:46" s="945" customFormat="1" ht="13.2" customHeight="1">
      <c r="A570" s="1029"/>
      <c r="B570" s="1120"/>
      <c r="C570" s="3003"/>
      <c r="D570" s="3003"/>
      <c r="E570" s="3003"/>
      <c r="F570" s="3003"/>
      <c r="G570" s="3003"/>
      <c r="H570" s="3003"/>
      <c r="I570" s="3003"/>
      <c r="J570" s="3003"/>
      <c r="K570" s="3003"/>
      <c r="L570" s="3003"/>
      <c r="M570" s="3003"/>
      <c r="N570" s="3003"/>
      <c r="O570" s="3003"/>
      <c r="P570" s="3003"/>
      <c r="Q570" s="3003"/>
      <c r="R570" s="3003"/>
      <c r="S570" s="3003"/>
      <c r="T570" s="3003"/>
      <c r="U570" s="3003"/>
      <c r="V570" s="3003"/>
      <c r="W570" s="3003"/>
      <c r="X570" s="3003"/>
      <c r="Y570" s="3003"/>
      <c r="Z570" s="3003"/>
      <c r="AA570" s="3003"/>
      <c r="AB570" s="3003"/>
      <c r="AC570" s="3003"/>
      <c r="AD570" s="3003"/>
      <c r="AE570" s="3003"/>
      <c r="AF570" s="3003"/>
      <c r="AG570" s="3003"/>
      <c r="AH570" s="3003"/>
      <c r="AI570" s="3003"/>
      <c r="AJ570" s="3003"/>
      <c r="AK570" s="1029"/>
      <c r="AL570" s="1029"/>
      <c r="AM570" s="1029"/>
      <c r="AN570" s="1002"/>
      <c r="AQ570" s="1137"/>
      <c r="AR570" s="1137"/>
    </row>
    <row r="571" spans="1:46" s="945" customFormat="1" ht="12.75" customHeight="1">
      <c r="A571" s="1029"/>
      <c r="B571" s="1120"/>
      <c r="C571" s="3003"/>
      <c r="D571" s="3003"/>
      <c r="E571" s="3003"/>
      <c r="F571" s="3003"/>
      <c r="G571" s="3003"/>
      <c r="H571" s="3003"/>
      <c r="I571" s="3003"/>
      <c r="J571" s="3003"/>
      <c r="K571" s="3003"/>
      <c r="L571" s="3003"/>
      <c r="M571" s="3003"/>
      <c r="N571" s="3003"/>
      <c r="O571" s="3003"/>
      <c r="P571" s="3003"/>
      <c r="Q571" s="3003"/>
      <c r="R571" s="3003"/>
      <c r="S571" s="3003"/>
      <c r="T571" s="3003"/>
      <c r="U571" s="3003"/>
      <c r="V571" s="3003"/>
      <c r="W571" s="3003"/>
      <c r="X571" s="3003"/>
      <c r="Y571" s="3003"/>
      <c r="Z571" s="3003"/>
      <c r="AA571" s="3003"/>
      <c r="AB571" s="3003"/>
      <c r="AC571" s="3003"/>
      <c r="AD571" s="3003"/>
      <c r="AE571" s="3003"/>
      <c r="AF571" s="3003"/>
      <c r="AG571" s="3003"/>
      <c r="AH571" s="3003"/>
      <c r="AI571" s="3003"/>
      <c r="AJ571" s="3003"/>
      <c r="AK571" s="1029"/>
      <c r="AL571" s="1029"/>
      <c r="AM571" s="1029"/>
      <c r="AN571" s="1002"/>
      <c r="AO571" s="1152"/>
      <c r="AP571" s="1152"/>
      <c r="AQ571" s="1137"/>
      <c r="AR571" s="1004"/>
    </row>
    <row r="572" spans="1:46" s="945" customFormat="1" ht="11.85" customHeight="1">
      <c r="A572" s="1029"/>
      <c r="B572" s="1120"/>
      <c r="C572" s="3003"/>
      <c r="D572" s="3003"/>
      <c r="E572" s="3003"/>
      <c r="F572" s="3003"/>
      <c r="G572" s="3003"/>
      <c r="H572" s="3003"/>
      <c r="I572" s="3003"/>
      <c r="J572" s="3003"/>
      <c r="K572" s="3003"/>
      <c r="L572" s="3003"/>
      <c r="M572" s="3003"/>
      <c r="N572" s="3003"/>
      <c r="O572" s="3003"/>
      <c r="P572" s="3003"/>
      <c r="Q572" s="3003"/>
      <c r="R572" s="3003"/>
      <c r="S572" s="3003"/>
      <c r="T572" s="3003"/>
      <c r="U572" s="3003"/>
      <c r="V572" s="3003"/>
      <c r="W572" s="3003"/>
      <c r="X572" s="3003"/>
      <c r="Y572" s="3003"/>
      <c r="Z572" s="3003"/>
      <c r="AA572" s="3003"/>
      <c r="AB572" s="3003"/>
      <c r="AC572" s="3003"/>
      <c r="AD572" s="3003"/>
      <c r="AE572" s="3003"/>
      <c r="AF572" s="3003"/>
      <c r="AG572" s="3003"/>
      <c r="AH572" s="3003"/>
      <c r="AI572" s="3003"/>
      <c r="AJ572" s="3003"/>
      <c r="AK572" s="1029"/>
      <c r="AL572" s="1029"/>
      <c r="AM572" s="1029"/>
      <c r="AN572" s="1002"/>
      <c r="AO572" s="1153" t="s">
        <v>117</v>
      </c>
      <c r="AP572" s="1154">
        <f>IF(C596="Yes",5,0)</f>
        <v>0</v>
      </c>
      <c r="AQ572" s="1004"/>
      <c r="AR572" s="1004"/>
      <c r="AS572" s="934" t="s">
        <v>1754</v>
      </c>
    </row>
    <row r="573" spans="1:46" s="945" customFormat="1" ht="12.75" customHeight="1">
      <c r="A573" s="1029"/>
      <c r="B573" s="1120"/>
      <c r="C573" s="3003"/>
      <c r="D573" s="3003"/>
      <c r="E573" s="3003"/>
      <c r="F573" s="3003"/>
      <c r="G573" s="3003"/>
      <c r="H573" s="3003"/>
      <c r="I573" s="3003"/>
      <c r="J573" s="3003"/>
      <c r="K573" s="3003"/>
      <c r="L573" s="3003"/>
      <c r="M573" s="3003"/>
      <c r="N573" s="3003"/>
      <c r="O573" s="3003"/>
      <c r="P573" s="3003"/>
      <c r="Q573" s="3003"/>
      <c r="R573" s="3003"/>
      <c r="S573" s="3003"/>
      <c r="T573" s="3003"/>
      <c r="U573" s="3003"/>
      <c r="V573" s="3003"/>
      <c r="W573" s="3003"/>
      <c r="X573" s="3003"/>
      <c r="Y573" s="3003"/>
      <c r="Z573" s="3003"/>
      <c r="AA573" s="3003"/>
      <c r="AB573" s="3003"/>
      <c r="AC573" s="3003"/>
      <c r="AD573" s="3003"/>
      <c r="AE573" s="3003"/>
      <c r="AF573" s="3003"/>
      <c r="AG573" s="3003"/>
      <c r="AH573" s="3003"/>
      <c r="AI573" s="3003"/>
      <c r="AJ573" s="3003"/>
      <c r="AK573" s="1029"/>
      <c r="AL573" s="1029"/>
      <c r="AM573" s="1029"/>
      <c r="AN573" s="1002"/>
      <c r="AO573" s="1153" t="s">
        <v>118</v>
      </c>
      <c r="AP573" s="1154">
        <f>IF(C604="Yes",5,0)</f>
        <v>0</v>
      </c>
      <c r="AQ573" s="1004"/>
      <c r="AR573" s="1004"/>
      <c r="AS573" s="3124">
        <f>IF(AQ581=0,AQ590,AQ581)</f>
        <v>10</v>
      </c>
      <c r="AT573" s="3124"/>
    </row>
    <row r="574" spans="1:46" s="945" customFormat="1" ht="12.75" customHeight="1">
      <c r="A574" s="1029"/>
      <c r="B574" s="1120"/>
      <c r="C574" s="3003"/>
      <c r="D574" s="3003"/>
      <c r="E574" s="3003"/>
      <c r="F574" s="3003"/>
      <c r="G574" s="3003"/>
      <c r="H574" s="3003"/>
      <c r="I574" s="3003"/>
      <c r="J574" s="3003"/>
      <c r="K574" s="3003"/>
      <c r="L574" s="3003"/>
      <c r="M574" s="3003"/>
      <c r="N574" s="3003"/>
      <c r="O574" s="3003"/>
      <c r="P574" s="3003"/>
      <c r="Q574" s="3003"/>
      <c r="R574" s="3003"/>
      <c r="S574" s="3003"/>
      <c r="T574" s="3003"/>
      <c r="U574" s="3003"/>
      <c r="V574" s="3003"/>
      <c r="W574" s="3003"/>
      <c r="X574" s="3003"/>
      <c r="Y574" s="3003"/>
      <c r="Z574" s="3003"/>
      <c r="AA574" s="3003"/>
      <c r="AB574" s="3003"/>
      <c r="AC574" s="3003"/>
      <c r="AD574" s="3003"/>
      <c r="AE574" s="3003"/>
      <c r="AF574" s="3003"/>
      <c r="AG574" s="3003"/>
      <c r="AH574" s="3003"/>
      <c r="AI574" s="3003"/>
      <c r="AJ574" s="3003"/>
      <c r="AK574" s="1029"/>
      <c r="AL574" s="1029"/>
      <c r="AM574" s="1029"/>
      <c r="AN574" s="1002"/>
      <c r="AO574" s="1153" t="s">
        <v>124</v>
      </c>
      <c r="AP574" s="1154">
        <f>IF(C612="Yes",7,0)</f>
        <v>7</v>
      </c>
      <c r="AS574" s="934" t="s">
        <v>1755</v>
      </c>
    </row>
    <row r="575" spans="1:46" s="945" customFormat="1" ht="12.75" customHeight="1">
      <c r="A575" s="1029"/>
      <c r="B575" s="1120"/>
      <c r="C575" s="3003"/>
      <c r="D575" s="3003"/>
      <c r="E575" s="3003"/>
      <c r="F575" s="3003"/>
      <c r="G575" s="3003"/>
      <c r="H575" s="3003"/>
      <c r="I575" s="3003"/>
      <c r="J575" s="3003"/>
      <c r="K575" s="3003"/>
      <c r="L575" s="3003"/>
      <c r="M575" s="3003"/>
      <c r="N575" s="3003"/>
      <c r="O575" s="3003"/>
      <c r="P575" s="3003"/>
      <c r="Q575" s="3003"/>
      <c r="R575" s="3003"/>
      <c r="S575" s="3003"/>
      <c r="T575" s="3003"/>
      <c r="U575" s="3003"/>
      <c r="V575" s="3003"/>
      <c r="W575" s="3003"/>
      <c r="X575" s="3003"/>
      <c r="Y575" s="3003"/>
      <c r="Z575" s="3003"/>
      <c r="AA575" s="3003"/>
      <c r="AB575" s="3003"/>
      <c r="AC575" s="3003"/>
      <c r="AD575" s="3003"/>
      <c r="AE575" s="3003"/>
      <c r="AF575" s="3003"/>
      <c r="AG575" s="3003"/>
      <c r="AH575" s="3003"/>
      <c r="AI575" s="3003"/>
      <c r="AJ575" s="3003"/>
      <c r="AK575" s="1029"/>
      <c r="AL575" s="1029"/>
      <c r="AM575" s="1029"/>
      <c r="AN575" s="1002"/>
      <c r="AO575" s="1002"/>
      <c r="AP575" s="1154">
        <f>IF(C614="Yes",5,0)</f>
        <v>0</v>
      </c>
      <c r="AS575" s="3124">
        <f>IF(AND(AQ581&gt;0,AQ590&gt;0),(AQ581+AQ590)/2,0)</f>
        <v>0</v>
      </c>
      <c r="AT575" s="3124"/>
    </row>
    <row r="576" spans="1:46" s="945" customFormat="1" ht="12.75" customHeight="1">
      <c r="A576" s="1029"/>
      <c r="B576" s="1120"/>
      <c r="C576" s="3003"/>
      <c r="D576" s="3003"/>
      <c r="E576" s="3003"/>
      <c r="F576" s="3003"/>
      <c r="G576" s="3003"/>
      <c r="H576" s="3003"/>
      <c r="I576" s="3003"/>
      <c r="J576" s="3003"/>
      <c r="K576" s="3003"/>
      <c r="L576" s="3003"/>
      <c r="M576" s="3003"/>
      <c r="N576" s="3003"/>
      <c r="O576" s="3003"/>
      <c r="P576" s="3003"/>
      <c r="Q576" s="3003"/>
      <c r="R576" s="3003"/>
      <c r="S576" s="3003"/>
      <c r="T576" s="3003"/>
      <c r="U576" s="3003"/>
      <c r="V576" s="3003"/>
      <c r="W576" s="3003"/>
      <c r="X576" s="3003"/>
      <c r="Y576" s="3003"/>
      <c r="Z576" s="3003"/>
      <c r="AA576" s="3003"/>
      <c r="AB576" s="3003"/>
      <c r="AC576" s="3003"/>
      <c r="AD576" s="3003"/>
      <c r="AE576" s="3003"/>
      <c r="AF576" s="3003"/>
      <c r="AG576" s="3003"/>
      <c r="AH576" s="3003"/>
      <c r="AI576" s="3003"/>
      <c r="AJ576" s="3003"/>
      <c r="AK576" s="1029"/>
      <c r="AL576" s="1029"/>
      <c r="AM576" s="1029"/>
      <c r="AN576" s="1002"/>
      <c r="AO576" s="1153" t="s">
        <v>617</v>
      </c>
      <c r="AP576" s="1154">
        <f>IF(C622="Yes",5,0)</f>
        <v>0</v>
      </c>
      <c r="AQ576" s="1004"/>
      <c r="AR576" s="1004"/>
    </row>
    <row r="577" spans="1:81" s="945" customFormat="1" ht="12.75" customHeight="1">
      <c r="A577" s="1029"/>
      <c r="B577" s="1120"/>
      <c r="C577" s="3125" t="s">
        <v>1756</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9"/>
      <c r="AL577" s="1029"/>
      <c r="AM577" s="1029"/>
      <c r="AN577" s="1002"/>
      <c r="AO577" s="1002"/>
      <c r="AP577" s="1154">
        <f>IF(C624="Yes",3,0)</f>
        <v>3</v>
      </c>
    </row>
    <row r="578" spans="1:81" s="945" customFormat="1" ht="12.75" customHeight="1">
      <c r="A578" s="1029"/>
      <c r="B578" s="1120"/>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9"/>
      <c r="AL578" s="1029"/>
      <c r="AM578" s="1029"/>
      <c r="AN578" s="1002"/>
      <c r="AO578" s="1153" t="s">
        <v>824</v>
      </c>
      <c r="AP578" s="1154">
        <f>IF(C627="Yes",5,0)</f>
        <v>0</v>
      </c>
    </row>
    <row r="579" spans="1:81" s="945" customFormat="1" ht="12.75" customHeight="1">
      <c r="A579" s="1029"/>
      <c r="B579" s="1120"/>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9"/>
      <c r="AL579" s="1029"/>
      <c r="AM579" s="1029"/>
      <c r="AN579" s="1002"/>
      <c r="AO579" s="1153" t="s">
        <v>620</v>
      </c>
      <c r="AP579" s="1154">
        <f>IF(C636="Yes",5,0)</f>
        <v>0</v>
      </c>
    </row>
    <row r="580" spans="1:81" s="945" customFormat="1" ht="11.85" customHeight="1">
      <c r="A580" s="1029"/>
      <c r="B580" s="1120"/>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9"/>
      <c r="AL580" s="1029"/>
      <c r="AM580" s="1029"/>
      <c r="AN580" s="1002"/>
      <c r="AO580" s="1155"/>
      <c r="AP580" s="1156">
        <f>IF(C638="Yes",3,0)</f>
        <v>0</v>
      </c>
    </row>
    <row r="581" spans="1:81" s="945" customFormat="1" ht="12.45" customHeight="1">
      <c r="A581" s="1029"/>
      <c r="B581" s="1120"/>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9"/>
      <c r="AL581" s="1029"/>
      <c r="AM581" s="1029"/>
      <c r="AN581" s="1002"/>
      <c r="AO581" s="1157" t="s">
        <v>234</v>
      </c>
      <c r="AP581" s="1158">
        <f>SUM(AP572:AP580)</f>
        <v>10</v>
      </c>
      <c r="AQ581" s="3006">
        <f>IF(AP581&gt;0,AP581,0)</f>
        <v>10</v>
      </c>
      <c r="AR581" s="3006"/>
    </row>
    <row r="582" spans="1:81" s="945" customFormat="1" ht="12.75" customHeight="1">
      <c r="A582" s="1029"/>
      <c r="B582" s="1120"/>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003" t="s">
        <v>1757</v>
      </c>
      <c r="D584" s="3003"/>
      <c r="E584" s="3003"/>
      <c r="F584" s="3003"/>
      <c r="G584" s="3003"/>
      <c r="H584" s="3003"/>
      <c r="I584" s="3003"/>
      <c r="J584" s="3003"/>
      <c r="K584" s="3003"/>
      <c r="L584" s="3003"/>
      <c r="M584" s="3003"/>
      <c r="N584" s="3003"/>
      <c r="O584" s="3003"/>
      <c r="P584" s="3003"/>
      <c r="Q584" s="3003"/>
      <c r="R584" s="3003"/>
      <c r="S584" s="3003"/>
      <c r="T584" s="3003"/>
      <c r="U584" s="3003"/>
      <c r="V584" s="3003"/>
      <c r="W584" s="3003"/>
      <c r="X584" s="3003"/>
      <c r="Y584" s="3003"/>
      <c r="Z584" s="3003"/>
      <c r="AA584" s="3003"/>
      <c r="AB584" s="3003"/>
      <c r="AC584" s="3003"/>
      <c r="AD584" s="3003"/>
      <c r="AE584" s="3003"/>
      <c r="AF584" s="3003"/>
      <c r="AG584" s="3003"/>
      <c r="AH584" s="3003"/>
      <c r="AI584" s="3003"/>
      <c r="AJ584" s="3003"/>
      <c r="AK584" s="1029"/>
      <c r="AL584" s="1029"/>
      <c r="AM584" s="1029"/>
      <c r="AN584" s="1002"/>
      <c r="AO584" s="1153" t="s">
        <v>489</v>
      </c>
      <c r="AP584" s="1154">
        <f>IF(C657="Yes",5,0)</f>
        <v>0</v>
      </c>
    </row>
    <row r="585" spans="1:81" s="945" customFormat="1" ht="12.75" customHeight="1">
      <c r="A585" s="1029"/>
      <c r="B585" s="1120"/>
      <c r="C585" s="3003"/>
      <c r="D585" s="3003"/>
      <c r="E585" s="3003"/>
      <c r="F585" s="3003"/>
      <c r="G585" s="3003"/>
      <c r="H585" s="3003"/>
      <c r="I585" s="3003"/>
      <c r="J585" s="3003"/>
      <c r="K585" s="3003"/>
      <c r="L585" s="3003"/>
      <c r="M585" s="3003"/>
      <c r="N585" s="3003"/>
      <c r="O585" s="3003"/>
      <c r="P585" s="3003"/>
      <c r="Q585" s="3003"/>
      <c r="R585" s="3003"/>
      <c r="S585" s="3003"/>
      <c r="T585" s="3003"/>
      <c r="U585" s="3003"/>
      <c r="V585" s="3003"/>
      <c r="W585" s="3003"/>
      <c r="X585" s="3003"/>
      <c r="Y585" s="3003"/>
      <c r="Z585" s="3003"/>
      <c r="AA585" s="3003"/>
      <c r="AB585" s="3003"/>
      <c r="AC585" s="3003"/>
      <c r="AD585" s="3003"/>
      <c r="AE585" s="3003"/>
      <c r="AF585" s="3003"/>
      <c r="AG585" s="3003"/>
      <c r="AH585" s="3003"/>
      <c r="AI585" s="3003"/>
      <c r="AJ585" s="3003"/>
      <c r="AK585" s="1029"/>
      <c r="AL585" s="1029"/>
      <c r="AM585" s="1029"/>
      <c r="AN585" s="1002"/>
      <c r="AO585" s="1153" t="s">
        <v>495</v>
      </c>
      <c r="AP585" s="1154">
        <f>IF(C664="Yes",5,0)</f>
        <v>0</v>
      </c>
    </row>
    <row r="586" spans="1:81" s="945" customFormat="1" ht="68.099999999999994" customHeight="1">
      <c r="A586" s="1029"/>
      <c r="B586" s="1120"/>
      <c r="C586" s="3003"/>
      <c r="D586" s="3003"/>
      <c r="E586" s="3003"/>
      <c r="F586" s="3003"/>
      <c r="G586" s="3003"/>
      <c r="H586" s="3003"/>
      <c r="I586" s="3003"/>
      <c r="J586" s="3003"/>
      <c r="K586" s="3003"/>
      <c r="L586" s="3003"/>
      <c r="M586" s="3003"/>
      <c r="N586" s="3003"/>
      <c r="O586" s="3003"/>
      <c r="P586" s="3003"/>
      <c r="Q586" s="3003"/>
      <c r="R586" s="3003"/>
      <c r="S586" s="3003"/>
      <c r="T586" s="3003"/>
      <c r="U586" s="3003"/>
      <c r="V586" s="3003"/>
      <c r="W586" s="3003"/>
      <c r="X586" s="3003"/>
      <c r="Y586" s="3003"/>
      <c r="Z586" s="3003"/>
      <c r="AA586" s="3003"/>
      <c r="AB586" s="3003"/>
      <c r="AC586" s="3003"/>
      <c r="AD586" s="3003"/>
      <c r="AE586" s="3003"/>
      <c r="AF586" s="3003"/>
      <c r="AG586" s="3003"/>
      <c r="AH586" s="3003"/>
      <c r="AI586" s="3003"/>
      <c r="AJ586" s="3003"/>
      <c r="AK586" s="1029"/>
      <c r="AL586" s="1029"/>
      <c r="AM586" s="1029"/>
      <c r="AN586" s="1002"/>
      <c r="AO586" s="1153" t="s">
        <v>682</v>
      </c>
      <c r="AP586" s="1160">
        <f>IF(C668="Yes",5,0)</f>
        <v>0</v>
      </c>
      <c r="AQ586" s="1004"/>
      <c r="AR586" s="1004"/>
    </row>
    <row r="587" spans="1:81" s="945" customFormat="1" ht="12.45"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004">
        <f>'Service Amenities Budget'!J10</f>
        <v>393</v>
      </c>
      <c r="V588" s="3004"/>
      <c r="W588" s="3004"/>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005">
        <f>'Service Amenities Budget'!J9</f>
        <v>0</v>
      </c>
      <c r="V589" s="3005"/>
      <c r="W589" s="300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6">
        <f>IF(AP590&gt;0,AP590,0)</f>
        <v>0</v>
      </c>
      <c r="AR590" s="3006"/>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007" t="s">
        <v>1762</v>
      </c>
      <c r="G592" s="3007"/>
      <c r="H592" s="3007"/>
      <c r="I592" s="3007"/>
      <c r="J592" s="3007"/>
      <c r="K592" s="3007"/>
      <c r="L592" s="3007"/>
      <c r="M592" s="3007"/>
      <c r="N592" s="3007"/>
      <c r="O592" s="3007"/>
      <c r="P592" s="3007"/>
      <c r="Q592" s="3007"/>
      <c r="R592" s="3007"/>
      <c r="S592" s="3007"/>
      <c r="T592" s="3007"/>
      <c r="U592" s="3007"/>
      <c r="V592" s="3007"/>
      <c r="W592" s="3007"/>
      <c r="X592" s="3007"/>
      <c r="Y592" s="3007"/>
      <c r="Z592" s="3007"/>
      <c r="AA592" s="3007"/>
      <c r="AB592" s="3007"/>
      <c r="AC592" s="3007"/>
      <c r="AD592" s="3007"/>
      <c r="AE592" s="3007"/>
      <c r="AF592" s="300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8"/>
      <c r="G593" s="3008"/>
      <c r="H593" s="3008"/>
      <c r="I593" s="3008"/>
      <c r="J593" s="3008"/>
      <c r="K593" s="3008"/>
      <c r="L593" s="3008"/>
      <c r="M593" s="3008"/>
      <c r="N593" s="3008"/>
      <c r="O593" s="3008"/>
      <c r="P593" s="3008"/>
      <c r="Q593" s="3008"/>
      <c r="R593" s="3008"/>
      <c r="S593" s="3008"/>
      <c r="T593" s="3008"/>
      <c r="U593" s="3008"/>
      <c r="V593" s="3008"/>
      <c r="W593" s="3008"/>
      <c r="X593" s="3008"/>
      <c r="Y593" s="3008"/>
      <c r="Z593" s="3008"/>
      <c r="AA593" s="3008"/>
      <c r="AB593" s="3008"/>
      <c r="AC593" s="3008"/>
      <c r="AD593" s="3008"/>
      <c r="AE593" s="3008"/>
      <c r="AF593" s="3008"/>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8"/>
      <c r="G594" s="3008"/>
      <c r="H594" s="3008"/>
      <c r="I594" s="3008"/>
      <c r="J594" s="3008"/>
      <c r="K594" s="3008"/>
      <c r="L594" s="3008"/>
      <c r="M594" s="3008"/>
      <c r="N594" s="3008"/>
      <c r="O594" s="3008"/>
      <c r="P594" s="3008"/>
      <c r="Q594" s="3008"/>
      <c r="R594" s="3008"/>
      <c r="S594" s="3008"/>
      <c r="T594" s="3008"/>
      <c r="U594" s="3008"/>
      <c r="V594" s="3008"/>
      <c r="W594" s="3008"/>
      <c r="X594" s="3008"/>
      <c r="Y594" s="3008"/>
      <c r="Z594" s="3008"/>
      <c r="AA594" s="3008"/>
      <c r="AB594" s="3008"/>
      <c r="AC594" s="3008"/>
      <c r="AD594" s="3008"/>
      <c r="AE594" s="3008"/>
      <c r="AF594" s="3008"/>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8"/>
      <c r="G595" s="3008"/>
      <c r="H595" s="3008"/>
      <c r="I595" s="3008"/>
      <c r="J595" s="3008"/>
      <c r="K595" s="3008"/>
      <c r="L595" s="3008"/>
      <c r="M595" s="3008"/>
      <c r="N595" s="3008"/>
      <c r="O595" s="3008"/>
      <c r="P595" s="3008"/>
      <c r="Q595" s="3008"/>
      <c r="R595" s="3008"/>
      <c r="S595" s="3008"/>
      <c r="T595" s="3008"/>
      <c r="U595" s="3008"/>
      <c r="V595" s="3008"/>
      <c r="W595" s="3008"/>
      <c r="X595" s="3008"/>
      <c r="Y595" s="3008"/>
      <c r="Z595" s="3008"/>
      <c r="AA595" s="3008"/>
      <c r="AB595" s="3008"/>
      <c r="AC595" s="3008"/>
      <c r="AD595" s="3008"/>
      <c r="AE595" s="3008"/>
      <c r="AF595" s="3008"/>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9" t="s">
        <v>627</v>
      </c>
      <c r="D596" s="3010"/>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1" t="s">
        <v>1764</v>
      </c>
      <c r="AG596" s="3011"/>
      <c r="AH596" s="3011"/>
      <c r="AI596" s="3011"/>
      <c r="AJ596" s="3011"/>
      <c r="AK596" s="3011"/>
      <c r="AL596" s="301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007" t="s">
        <v>1765</v>
      </c>
      <c r="G599" s="3007"/>
      <c r="H599" s="3007"/>
      <c r="I599" s="3007"/>
      <c r="J599" s="3007"/>
      <c r="K599" s="3007"/>
      <c r="L599" s="3007"/>
      <c r="M599" s="3007"/>
      <c r="N599" s="3007"/>
      <c r="O599" s="3007"/>
      <c r="P599" s="3007"/>
      <c r="Q599" s="3007"/>
      <c r="R599" s="3007"/>
      <c r="S599" s="3007"/>
      <c r="T599" s="3007"/>
      <c r="U599" s="3007"/>
      <c r="V599" s="3007"/>
      <c r="W599" s="3007"/>
      <c r="X599" s="3007"/>
      <c r="Y599" s="3007"/>
      <c r="Z599" s="3007"/>
      <c r="AA599" s="3007"/>
      <c r="AB599" s="3007"/>
      <c r="AC599" s="3007"/>
      <c r="AD599" s="3007"/>
      <c r="AE599" s="3007"/>
      <c r="AF599" s="300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8"/>
      <c r="G600" s="3008"/>
      <c r="H600" s="3008"/>
      <c r="I600" s="3008"/>
      <c r="J600" s="3008"/>
      <c r="K600" s="3008"/>
      <c r="L600" s="3008"/>
      <c r="M600" s="3008"/>
      <c r="N600" s="3008"/>
      <c r="O600" s="3008"/>
      <c r="P600" s="3008"/>
      <c r="Q600" s="3008"/>
      <c r="R600" s="3008"/>
      <c r="S600" s="3008"/>
      <c r="T600" s="3008"/>
      <c r="U600" s="3008"/>
      <c r="V600" s="3008"/>
      <c r="W600" s="3008"/>
      <c r="X600" s="3008"/>
      <c r="Y600" s="3008"/>
      <c r="Z600" s="3008"/>
      <c r="AA600" s="3008"/>
      <c r="AB600" s="3008"/>
      <c r="AC600" s="3008"/>
      <c r="AD600" s="3008"/>
      <c r="AE600" s="3008"/>
      <c r="AF600" s="3008"/>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8"/>
      <c r="G601" s="3008"/>
      <c r="H601" s="3008"/>
      <c r="I601" s="3008"/>
      <c r="J601" s="3008"/>
      <c r="K601" s="3008"/>
      <c r="L601" s="3008"/>
      <c r="M601" s="3008"/>
      <c r="N601" s="3008"/>
      <c r="O601" s="3008"/>
      <c r="P601" s="3008"/>
      <c r="Q601" s="3008"/>
      <c r="R601" s="3008"/>
      <c r="S601" s="3008"/>
      <c r="T601" s="3008"/>
      <c r="U601" s="3008"/>
      <c r="V601" s="3008"/>
      <c r="W601" s="3008"/>
      <c r="X601" s="3008"/>
      <c r="Y601" s="3008"/>
      <c r="Z601" s="3008"/>
      <c r="AA601" s="3008"/>
      <c r="AB601" s="3008"/>
      <c r="AC601" s="3008"/>
      <c r="AD601" s="3008"/>
      <c r="AE601" s="3008"/>
      <c r="AF601" s="3008"/>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8"/>
      <c r="G602" s="3008"/>
      <c r="H602" s="3008"/>
      <c r="I602" s="3008"/>
      <c r="J602" s="3008"/>
      <c r="K602" s="3008"/>
      <c r="L602" s="3008"/>
      <c r="M602" s="3008"/>
      <c r="N602" s="3008"/>
      <c r="O602" s="3008"/>
      <c r="P602" s="3008"/>
      <c r="Q602" s="3008"/>
      <c r="R602" s="3008"/>
      <c r="S602" s="3008"/>
      <c r="T602" s="3008"/>
      <c r="U602" s="3008"/>
      <c r="V602" s="3008"/>
      <c r="W602" s="3008"/>
      <c r="X602" s="3008"/>
      <c r="Y602" s="3008"/>
      <c r="Z602" s="3008"/>
      <c r="AA602" s="3008"/>
      <c r="AB602" s="3008"/>
      <c r="AC602" s="3008"/>
      <c r="AD602" s="3008"/>
      <c r="AE602" s="3008"/>
      <c r="AF602" s="3008"/>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8"/>
      <c r="G603" s="3008"/>
      <c r="H603" s="3008"/>
      <c r="I603" s="3008"/>
      <c r="J603" s="3008"/>
      <c r="K603" s="3008"/>
      <c r="L603" s="3008"/>
      <c r="M603" s="3008"/>
      <c r="N603" s="3008"/>
      <c r="O603" s="3008"/>
      <c r="P603" s="3008"/>
      <c r="Q603" s="3008"/>
      <c r="R603" s="3008"/>
      <c r="S603" s="3008"/>
      <c r="T603" s="3008"/>
      <c r="U603" s="3008"/>
      <c r="V603" s="3008"/>
      <c r="W603" s="3008"/>
      <c r="X603" s="3008"/>
      <c r="Y603" s="3008"/>
      <c r="Z603" s="3008"/>
      <c r="AA603" s="3008"/>
      <c r="AB603" s="3008"/>
      <c r="AC603" s="3008"/>
      <c r="AD603" s="3008"/>
      <c r="AE603" s="3008"/>
      <c r="AF603" s="300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9" t="s">
        <v>627</v>
      </c>
      <c r="D604" s="3010"/>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1" t="s">
        <v>1764</v>
      </c>
      <c r="AG604" s="3011"/>
      <c r="AH604" s="3011"/>
      <c r="AI604" s="3011"/>
      <c r="AJ604" s="3011"/>
      <c r="AK604" s="3011"/>
      <c r="AL604" s="301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007" t="s">
        <v>1767</v>
      </c>
      <c r="G607" s="3007"/>
      <c r="H607" s="3007"/>
      <c r="I607" s="3007"/>
      <c r="J607" s="3007"/>
      <c r="K607" s="3007"/>
      <c r="L607" s="3007"/>
      <c r="M607" s="3007"/>
      <c r="N607" s="3007"/>
      <c r="O607" s="3007"/>
      <c r="P607" s="3007"/>
      <c r="Q607" s="3007"/>
      <c r="R607" s="3007"/>
      <c r="S607" s="3007"/>
      <c r="T607" s="3007"/>
      <c r="U607" s="3007"/>
      <c r="V607" s="3007"/>
      <c r="W607" s="3007"/>
      <c r="X607" s="3007"/>
      <c r="Y607" s="3007"/>
      <c r="Z607" s="3007"/>
      <c r="AA607" s="3007"/>
      <c r="AB607" s="3007"/>
      <c r="AC607" s="3007"/>
      <c r="AD607" s="3007"/>
      <c r="AE607" s="3007"/>
      <c r="AF607" s="300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8"/>
      <c r="G608" s="3008"/>
      <c r="H608" s="3008"/>
      <c r="I608" s="3008"/>
      <c r="J608" s="3008"/>
      <c r="K608" s="3008"/>
      <c r="L608" s="3008"/>
      <c r="M608" s="3008"/>
      <c r="N608" s="3008"/>
      <c r="O608" s="3008"/>
      <c r="P608" s="3008"/>
      <c r="Q608" s="3008"/>
      <c r="R608" s="3008"/>
      <c r="S608" s="3008"/>
      <c r="T608" s="3008"/>
      <c r="U608" s="3008"/>
      <c r="V608" s="3008"/>
      <c r="W608" s="3008"/>
      <c r="X608" s="3008"/>
      <c r="Y608" s="3008"/>
      <c r="Z608" s="3008"/>
      <c r="AA608" s="3008"/>
      <c r="AB608" s="3008"/>
      <c r="AC608" s="3008"/>
      <c r="AD608" s="3008"/>
      <c r="AE608" s="3008"/>
      <c r="AF608" s="300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8"/>
      <c r="G609" s="3008"/>
      <c r="H609" s="3008"/>
      <c r="I609" s="3008"/>
      <c r="J609" s="3008"/>
      <c r="K609" s="3008"/>
      <c r="L609" s="3008"/>
      <c r="M609" s="3008"/>
      <c r="N609" s="3008"/>
      <c r="O609" s="3008"/>
      <c r="P609" s="3008"/>
      <c r="Q609" s="3008"/>
      <c r="R609" s="3008"/>
      <c r="S609" s="3008"/>
      <c r="T609" s="3008"/>
      <c r="U609" s="3008"/>
      <c r="V609" s="3008"/>
      <c r="W609" s="3008"/>
      <c r="X609" s="3008"/>
      <c r="Y609" s="3008"/>
      <c r="Z609" s="3008"/>
      <c r="AA609" s="3008"/>
      <c r="AB609" s="3008"/>
      <c r="AC609" s="3008"/>
      <c r="AD609" s="3008"/>
      <c r="AE609" s="3008"/>
      <c r="AF609" s="300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8"/>
      <c r="G610" s="3008"/>
      <c r="H610" s="3008"/>
      <c r="I610" s="3008"/>
      <c r="J610" s="3008"/>
      <c r="K610" s="3008"/>
      <c r="L610" s="3008"/>
      <c r="M610" s="3008"/>
      <c r="N610" s="3008"/>
      <c r="O610" s="3008"/>
      <c r="P610" s="3008"/>
      <c r="Q610" s="3008"/>
      <c r="R610" s="3008"/>
      <c r="S610" s="3008"/>
      <c r="T610" s="3008"/>
      <c r="U610" s="3008"/>
      <c r="V610" s="3008"/>
      <c r="W610" s="3008"/>
      <c r="X610" s="3008"/>
      <c r="Y610" s="3008"/>
      <c r="Z610" s="3008"/>
      <c r="AA610" s="3008"/>
      <c r="AB610" s="3008"/>
      <c r="AC610" s="3008"/>
      <c r="AD610" s="3008"/>
      <c r="AE610" s="3008"/>
      <c r="AF610" s="300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8"/>
      <c r="G611" s="3008"/>
      <c r="H611" s="3008"/>
      <c r="I611" s="3008"/>
      <c r="J611" s="3008"/>
      <c r="K611" s="3008"/>
      <c r="L611" s="3008"/>
      <c r="M611" s="3008"/>
      <c r="N611" s="3008"/>
      <c r="O611" s="3008"/>
      <c r="P611" s="3008"/>
      <c r="Q611" s="3008"/>
      <c r="R611" s="3008"/>
      <c r="S611" s="3008"/>
      <c r="T611" s="3008"/>
      <c r="U611" s="3008"/>
      <c r="V611" s="3008"/>
      <c r="W611" s="3008"/>
      <c r="X611" s="3008"/>
      <c r="Y611" s="3008"/>
      <c r="Z611" s="3008"/>
      <c r="AA611" s="3008"/>
      <c r="AB611" s="3008"/>
      <c r="AC611" s="3008"/>
      <c r="AD611" s="3008"/>
      <c r="AE611" s="3008"/>
      <c r="AF611" s="300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9" t="s">
        <v>579</v>
      </c>
      <c r="D612" s="3010"/>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1" t="s">
        <v>1769</v>
      </c>
      <c r="AG612" s="3011"/>
      <c r="AH612" s="3011"/>
      <c r="AI612" s="3011"/>
      <c r="AJ612" s="3011"/>
      <c r="AK612" s="3011"/>
      <c r="AL612" s="301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9" t="s">
        <v>627</v>
      </c>
      <c r="D614" s="3010"/>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1" t="s">
        <v>1764</v>
      </c>
      <c r="AG614" s="3011"/>
      <c r="AH614" s="3011"/>
      <c r="AI614" s="3011"/>
      <c r="AJ614" s="3011"/>
      <c r="AK614" s="3011"/>
      <c r="AL614" s="301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007" t="s">
        <v>1773</v>
      </c>
      <c r="G618" s="3007"/>
      <c r="H618" s="3007"/>
      <c r="I618" s="3007"/>
      <c r="J618" s="3007"/>
      <c r="K618" s="3007"/>
      <c r="L618" s="3007"/>
      <c r="M618" s="3007"/>
      <c r="N618" s="3007"/>
      <c r="O618" s="3007"/>
      <c r="P618" s="3007"/>
      <c r="Q618" s="3007"/>
      <c r="R618" s="3007"/>
      <c r="S618" s="3007"/>
      <c r="T618" s="3007"/>
      <c r="U618" s="3007"/>
      <c r="V618" s="3007"/>
      <c r="W618" s="3007"/>
      <c r="X618" s="3007"/>
      <c r="Y618" s="3007"/>
      <c r="Z618" s="3007"/>
      <c r="AA618" s="3007"/>
      <c r="AB618" s="3007"/>
      <c r="AC618" s="3007"/>
      <c r="AD618" s="3007"/>
      <c r="AE618" s="3007"/>
      <c r="AF618" s="300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8"/>
      <c r="G619" s="3008"/>
      <c r="H619" s="3008"/>
      <c r="I619" s="3008"/>
      <c r="J619" s="3008"/>
      <c r="K619" s="3008"/>
      <c r="L619" s="3008"/>
      <c r="M619" s="3008"/>
      <c r="N619" s="3008"/>
      <c r="O619" s="3008"/>
      <c r="P619" s="3008"/>
      <c r="Q619" s="3008"/>
      <c r="R619" s="3008"/>
      <c r="S619" s="3008"/>
      <c r="T619" s="3008"/>
      <c r="U619" s="3008"/>
      <c r="V619" s="3008"/>
      <c r="W619" s="3008"/>
      <c r="X619" s="3008"/>
      <c r="Y619" s="3008"/>
      <c r="Z619" s="3008"/>
      <c r="AA619" s="3008"/>
      <c r="AB619" s="3008"/>
      <c r="AC619" s="3008"/>
      <c r="AD619" s="3008"/>
      <c r="AE619" s="3008"/>
      <c r="AF619" s="300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8"/>
      <c r="G620" s="3008"/>
      <c r="H620" s="3008"/>
      <c r="I620" s="3008"/>
      <c r="J620" s="3008"/>
      <c r="K620" s="3008"/>
      <c r="L620" s="3008"/>
      <c r="M620" s="3008"/>
      <c r="N620" s="3008"/>
      <c r="O620" s="3008"/>
      <c r="P620" s="3008"/>
      <c r="Q620" s="3008"/>
      <c r="R620" s="3008"/>
      <c r="S620" s="3008"/>
      <c r="T620" s="3008"/>
      <c r="U620" s="3008"/>
      <c r="V620" s="3008"/>
      <c r="W620" s="3008"/>
      <c r="X620" s="3008"/>
      <c r="Y620" s="3008"/>
      <c r="Z620" s="3008"/>
      <c r="AA620" s="3008"/>
      <c r="AB620" s="3008"/>
      <c r="AC620" s="3008"/>
      <c r="AD620" s="3008"/>
      <c r="AE620" s="3008"/>
      <c r="AF620" s="300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8"/>
      <c r="G621" s="3008"/>
      <c r="H621" s="3008"/>
      <c r="I621" s="3008"/>
      <c r="J621" s="3008"/>
      <c r="K621" s="3008"/>
      <c r="L621" s="3008"/>
      <c r="M621" s="3008"/>
      <c r="N621" s="3008"/>
      <c r="O621" s="3008"/>
      <c r="P621" s="3008"/>
      <c r="Q621" s="3008"/>
      <c r="R621" s="3008"/>
      <c r="S621" s="3008"/>
      <c r="T621" s="3008"/>
      <c r="U621" s="3008"/>
      <c r="V621" s="3008"/>
      <c r="W621" s="3008"/>
      <c r="X621" s="3008"/>
      <c r="Y621" s="3008"/>
      <c r="Z621" s="3008"/>
      <c r="AA621" s="3008"/>
      <c r="AB621" s="3008"/>
      <c r="AC621" s="3008"/>
      <c r="AD621" s="3008"/>
      <c r="AE621" s="3008"/>
      <c r="AF621" s="300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9" t="s">
        <v>627</v>
      </c>
      <c r="D622" s="3010"/>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1" t="s">
        <v>1764</v>
      </c>
      <c r="AG622" s="3011"/>
      <c r="AH622" s="3011"/>
      <c r="AI622" s="3011"/>
      <c r="AJ622" s="3011"/>
      <c r="AK622" s="3011"/>
      <c r="AL622" s="301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9" t="s">
        <v>579</v>
      </c>
      <c r="D624" s="3010"/>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1" t="s">
        <v>1776</v>
      </c>
      <c r="AG624" s="3011"/>
      <c r="AH624" s="3011"/>
      <c r="AI624" s="3011"/>
      <c r="AJ624" s="3011"/>
      <c r="AK624" s="3011"/>
      <c r="AL624" s="301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9" t="s">
        <v>627</v>
      </c>
      <c r="D627" s="3010"/>
      <c r="E627" s="1176" t="s">
        <v>1777</v>
      </c>
      <c r="F627" s="3007" t="s">
        <v>1778</v>
      </c>
      <c r="G627" s="3007"/>
      <c r="H627" s="3007"/>
      <c r="I627" s="3007"/>
      <c r="J627" s="3007"/>
      <c r="K627" s="3007"/>
      <c r="L627" s="3007"/>
      <c r="M627" s="3007"/>
      <c r="N627" s="3007"/>
      <c r="O627" s="3007"/>
      <c r="P627" s="3007"/>
      <c r="Q627" s="3007"/>
      <c r="R627" s="3007"/>
      <c r="S627" s="3007"/>
      <c r="T627" s="3007"/>
      <c r="U627" s="3007"/>
      <c r="V627" s="3007"/>
      <c r="W627" s="3007"/>
      <c r="X627" s="3007"/>
      <c r="Y627" s="3007"/>
      <c r="Z627" s="3007"/>
      <c r="AA627" s="3007"/>
      <c r="AB627" s="3007"/>
      <c r="AC627" s="3007"/>
      <c r="AD627" s="3007"/>
      <c r="AE627" s="300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8"/>
      <c r="G628" s="3008"/>
      <c r="H628" s="3008"/>
      <c r="I628" s="3008"/>
      <c r="J628" s="3008"/>
      <c r="K628" s="3008"/>
      <c r="L628" s="3008"/>
      <c r="M628" s="3008"/>
      <c r="N628" s="3008"/>
      <c r="O628" s="3008"/>
      <c r="P628" s="3008"/>
      <c r="Q628" s="3008"/>
      <c r="R628" s="3008"/>
      <c r="S628" s="3008"/>
      <c r="T628" s="3008"/>
      <c r="U628" s="3008"/>
      <c r="V628" s="3008"/>
      <c r="W628" s="3008"/>
      <c r="X628" s="3008"/>
      <c r="Y628" s="3008"/>
      <c r="Z628" s="3008"/>
      <c r="AA628" s="3008"/>
      <c r="AB628" s="3008"/>
      <c r="AC628" s="3008"/>
      <c r="AD628" s="3008"/>
      <c r="AE628" s="3008"/>
      <c r="AF628" s="3120" t="s">
        <v>1764</v>
      </c>
      <c r="AG628" s="3120"/>
      <c r="AH628" s="3120"/>
      <c r="AI628" s="3120"/>
      <c r="AJ628" s="3120"/>
      <c r="AK628" s="3120"/>
      <c r="AL628" s="3121"/>
      <c r="AM628" s="1136"/>
      <c r="AN628" s="1002"/>
      <c r="BS628" s="1136"/>
      <c r="BT628" s="1136"/>
      <c r="BY628" s="1136"/>
      <c r="BZ628" s="1136"/>
      <c r="CA628" s="1136"/>
      <c r="CB628" s="1136"/>
      <c r="CC628" s="1136"/>
    </row>
    <row r="629" spans="1:81" s="945" customFormat="1" ht="12.75" customHeight="1">
      <c r="A629" s="929"/>
      <c r="B629" s="51"/>
      <c r="C629" s="1194"/>
      <c r="D629" s="112"/>
      <c r="E629" s="1148"/>
      <c r="F629" s="3008"/>
      <c r="G629" s="3008"/>
      <c r="H629" s="3008"/>
      <c r="I629" s="3008"/>
      <c r="J629" s="3008"/>
      <c r="K629" s="3008"/>
      <c r="L629" s="3008"/>
      <c r="M629" s="3008"/>
      <c r="N629" s="3008"/>
      <c r="O629" s="3008"/>
      <c r="P629" s="3008"/>
      <c r="Q629" s="3008"/>
      <c r="R629" s="3008"/>
      <c r="S629" s="3008"/>
      <c r="T629" s="3008"/>
      <c r="U629" s="3008"/>
      <c r="V629" s="3008"/>
      <c r="W629" s="3008"/>
      <c r="X629" s="3008"/>
      <c r="Y629" s="3008"/>
      <c r="Z629" s="3008"/>
      <c r="AA629" s="3008"/>
      <c r="AB629" s="3008"/>
      <c r="AC629" s="3008"/>
      <c r="AD629" s="3008"/>
      <c r="AE629" s="300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5"/>
      <c r="G630" s="3115"/>
      <c r="H630" s="3115"/>
      <c r="I630" s="3115"/>
      <c r="J630" s="3115"/>
      <c r="K630" s="3115"/>
      <c r="L630" s="3115"/>
      <c r="M630" s="3115"/>
      <c r="N630" s="3115"/>
      <c r="O630" s="3115"/>
      <c r="P630" s="3115"/>
      <c r="Q630" s="3115"/>
      <c r="R630" s="3115"/>
      <c r="S630" s="3115"/>
      <c r="T630" s="3115"/>
      <c r="U630" s="3115"/>
      <c r="V630" s="3115"/>
      <c r="W630" s="3115"/>
      <c r="X630" s="3115"/>
      <c r="Y630" s="3115"/>
      <c r="Z630" s="3115"/>
      <c r="AA630" s="3115"/>
      <c r="AB630" s="3115"/>
      <c r="AC630" s="3115"/>
      <c r="AD630" s="3115"/>
      <c r="AE630" s="311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18" t="s">
        <v>1780</v>
      </c>
      <c r="G632" s="3118"/>
      <c r="H632" s="3118"/>
      <c r="I632" s="3118"/>
      <c r="J632" s="3118"/>
      <c r="K632" s="3118"/>
      <c r="L632" s="3118"/>
      <c r="M632" s="3118"/>
      <c r="N632" s="3118"/>
      <c r="O632" s="3118"/>
      <c r="P632" s="3118"/>
      <c r="Q632" s="3118"/>
      <c r="R632" s="3118"/>
      <c r="S632" s="3118"/>
      <c r="T632" s="3118"/>
      <c r="U632" s="3118"/>
      <c r="V632" s="3118"/>
      <c r="W632" s="3118"/>
      <c r="X632" s="3118"/>
      <c r="Y632" s="3118"/>
      <c r="Z632" s="3118"/>
      <c r="AA632" s="3118"/>
      <c r="AB632" s="3118"/>
      <c r="AC632" s="3118"/>
      <c r="AD632" s="3118"/>
      <c r="AE632" s="3118"/>
      <c r="AF632" s="1213"/>
      <c r="AG632" s="1213"/>
      <c r="AH632" s="1213"/>
      <c r="AI632" s="1213"/>
      <c r="AJ632" s="1213"/>
      <c r="AK632" s="1213"/>
      <c r="AL632" s="1214"/>
      <c r="AM632" s="1136"/>
    </row>
    <row r="633" spans="1:81">
      <c r="A633" s="929"/>
      <c r="C633" s="1194"/>
      <c r="D633" s="112"/>
      <c r="E633" s="1148"/>
      <c r="F633" s="3119"/>
      <c r="G633" s="3119"/>
      <c r="H633" s="3119"/>
      <c r="I633" s="3119"/>
      <c r="J633" s="3119"/>
      <c r="K633" s="3119"/>
      <c r="L633" s="3119"/>
      <c r="M633" s="3119"/>
      <c r="N633" s="3119"/>
      <c r="O633" s="3119"/>
      <c r="P633" s="3119"/>
      <c r="Q633" s="3119"/>
      <c r="R633" s="3119"/>
      <c r="S633" s="3119"/>
      <c r="T633" s="3119"/>
      <c r="U633" s="3119"/>
      <c r="V633" s="3119"/>
      <c r="W633" s="3119"/>
      <c r="X633" s="3119"/>
      <c r="Y633" s="3119"/>
      <c r="Z633" s="3119"/>
      <c r="AA633" s="3119"/>
      <c r="AB633" s="3119"/>
      <c r="AC633" s="3119"/>
      <c r="AD633" s="3119"/>
      <c r="AE633" s="3119"/>
      <c r="AF633" s="1215"/>
      <c r="AG633" s="993"/>
      <c r="AH633" s="1027"/>
      <c r="AI633" s="1027"/>
      <c r="AJ633" s="1027"/>
      <c r="AK633" s="1027"/>
      <c r="AL633" s="1195"/>
      <c r="AM633" s="1136"/>
    </row>
    <row r="634" spans="1:81" s="945" customFormat="1" ht="12.75" customHeight="1">
      <c r="A634" s="929"/>
      <c r="B634" s="51"/>
      <c r="C634" s="1194"/>
      <c r="D634" s="112"/>
      <c r="E634" s="1148"/>
      <c r="F634" s="3119"/>
      <c r="G634" s="3119"/>
      <c r="H634" s="3119"/>
      <c r="I634" s="3119"/>
      <c r="J634" s="3119"/>
      <c r="K634" s="3119"/>
      <c r="L634" s="3119"/>
      <c r="M634" s="3119"/>
      <c r="N634" s="3119"/>
      <c r="O634" s="3119"/>
      <c r="P634" s="3119"/>
      <c r="Q634" s="3119"/>
      <c r="R634" s="3119"/>
      <c r="S634" s="3119"/>
      <c r="T634" s="3119"/>
      <c r="U634" s="3119"/>
      <c r="V634" s="3119"/>
      <c r="W634" s="3119"/>
      <c r="X634" s="3119"/>
      <c r="Y634" s="3119"/>
      <c r="Z634" s="3119"/>
      <c r="AA634" s="3119"/>
      <c r="AB634" s="3119"/>
      <c r="AC634" s="3119"/>
      <c r="AD634" s="3119"/>
      <c r="AE634" s="3119"/>
      <c r="AF634" s="1027"/>
      <c r="AG634" s="1027"/>
      <c r="AH634" s="1027"/>
      <c r="AI634" s="1027"/>
      <c r="AJ634" s="1027"/>
      <c r="AK634" s="1027"/>
      <c r="AL634" s="1195"/>
      <c r="AM634" s="1136"/>
      <c r="AN634" s="1002"/>
    </row>
    <row r="635" spans="1:81" s="945" customFormat="1" ht="12.75" customHeight="1">
      <c r="A635" s="929"/>
      <c r="B635" s="51"/>
      <c r="C635" s="1203"/>
      <c r="D635" s="1027"/>
      <c r="E635" s="1027"/>
      <c r="F635" s="3119"/>
      <c r="G635" s="3119"/>
      <c r="H635" s="3119"/>
      <c r="I635" s="3119"/>
      <c r="J635" s="3119"/>
      <c r="K635" s="3119"/>
      <c r="L635" s="3119"/>
      <c r="M635" s="3119"/>
      <c r="N635" s="3119"/>
      <c r="O635" s="3119"/>
      <c r="P635" s="3119"/>
      <c r="Q635" s="3119"/>
      <c r="R635" s="3119"/>
      <c r="S635" s="3119"/>
      <c r="T635" s="3119"/>
      <c r="U635" s="3119"/>
      <c r="V635" s="3119"/>
      <c r="W635" s="3119"/>
      <c r="X635" s="3119"/>
      <c r="Y635" s="3119"/>
      <c r="Z635" s="3119"/>
      <c r="AA635" s="3119"/>
      <c r="AB635" s="3119"/>
      <c r="AC635" s="3119"/>
      <c r="AD635" s="3119"/>
      <c r="AE635" s="3119"/>
      <c r="AF635" s="1027"/>
      <c r="AG635" s="1027"/>
      <c r="AH635" s="1027"/>
      <c r="AI635" s="1027"/>
      <c r="AJ635" s="1027"/>
      <c r="AK635" s="1027"/>
      <c r="AL635" s="1195"/>
      <c r="AM635" s="1136"/>
      <c r="AN635" s="1002"/>
    </row>
    <row r="636" spans="1:81" s="945" customFormat="1" ht="12.75" customHeight="1">
      <c r="A636" s="929"/>
      <c r="B636" s="51"/>
      <c r="C636" s="3009" t="s">
        <v>627</v>
      </c>
      <c r="D636" s="3010"/>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0" t="s">
        <v>1764</v>
      </c>
      <c r="AG636" s="3120"/>
      <c r="AH636" s="3120"/>
      <c r="AI636" s="3120"/>
      <c r="AJ636" s="3120"/>
      <c r="AK636" s="3120"/>
      <c r="AL636" s="3121"/>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9" t="s">
        <v>627</v>
      </c>
      <c r="D638" s="3010"/>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0" t="s">
        <v>1776</v>
      </c>
      <c r="AG638" s="3120"/>
      <c r="AH638" s="3120"/>
      <c r="AI638" s="3120"/>
      <c r="AJ638" s="3120"/>
      <c r="AK638" s="3120"/>
      <c r="AL638" s="3121"/>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007" t="s">
        <v>1785</v>
      </c>
      <c r="G642" s="3007"/>
      <c r="H642" s="3007"/>
      <c r="I642" s="3007"/>
      <c r="J642" s="3007"/>
      <c r="K642" s="3007"/>
      <c r="L642" s="3007"/>
      <c r="M642" s="3007"/>
      <c r="N642" s="3007"/>
      <c r="O642" s="3007"/>
      <c r="P642" s="3007"/>
      <c r="Q642" s="3007"/>
      <c r="R642" s="3007"/>
      <c r="S642" s="3007"/>
      <c r="T642" s="3007"/>
      <c r="U642" s="3007"/>
      <c r="V642" s="3007"/>
      <c r="W642" s="3007"/>
      <c r="X642" s="3007"/>
      <c r="Y642" s="3007"/>
      <c r="Z642" s="3007"/>
      <c r="AA642" s="3007"/>
      <c r="AB642" s="3007"/>
      <c r="AC642" s="3007"/>
      <c r="AD642" s="3007"/>
      <c r="AE642" s="300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8"/>
      <c r="G643" s="3008"/>
      <c r="H643" s="3008"/>
      <c r="I643" s="3008"/>
      <c r="J643" s="3008"/>
      <c r="K643" s="3008"/>
      <c r="L643" s="3008"/>
      <c r="M643" s="3008"/>
      <c r="N643" s="3008"/>
      <c r="O643" s="3008"/>
      <c r="P643" s="3008"/>
      <c r="Q643" s="3008"/>
      <c r="R643" s="3008"/>
      <c r="S643" s="3008"/>
      <c r="T643" s="3008"/>
      <c r="U643" s="3008"/>
      <c r="V643" s="3008"/>
      <c r="W643" s="3008"/>
      <c r="X643" s="3008"/>
      <c r="Y643" s="3008"/>
      <c r="Z643" s="3008"/>
      <c r="AA643" s="3008"/>
      <c r="AB643" s="3008"/>
      <c r="AC643" s="3008"/>
      <c r="AD643" s="3008"/>
      <c r="AE643" s="3008"/>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008"/>
      <c r="G644" s="3008"/>
      <c r="H644" s="3008"/>
      <c r="I644" s="3008"/>
      <c r="J644" s="3008"/>
      <c r="K644" s="3008"/>
      <c r="L644" s="3008"/>
      <c r="M644" s="3008"/>
      <c r="N644" s="3008"/>
      <c r="O644" s="3008"/>
      <c r="P644" s="3008"/>
      <c r="Q644" s="3008"/>
      <c r="R644" s="3008"/>
      <c r="S644" s="3008"/>
      <c r="T644" s="3008"/>
      <c r="U644" s="3008"/>
      <c r="V644" s="3008"/>
      <c r="W644" s="3008"/>
      <c r="X644" s="3008"/>
      <c r="Y644" s="3008"/>
      <c r="Z644" s="3008"/>
      <c r="AA644" s="3008"/>
      <c r="AB644" s="3008"/>
      <c r="AC644" s="3008"/>
      <c r="AD644" s="3008"/>
      <c r="AE644" s="3008"/>
      <c r="AF644" s="1027"/>
      <c r="AG644" s="1027"/>
      <c r="AH644" s="1027"/>
      <c r="AI644" s="1027"/>
      <c r="AJ644" s="1027"/>
      <c r="AK644" s="1027"/>
      <c r="AL644" s="1195"/>
      <c r="AM644" s="1136"/>
      <c r="AN644" s="1002"/>
      <c r="AO644" s="1027"/>
      <c r="AP644" s="1027"/>
    </row>
    <row r="645" spans="1:60" s="945" customFormat="1" ht="12.75" customHeight="1">
      <c r="A645" s="929"/>
      <c r="B645" s="51"/>
      <c r="C645" s="3009" t="s">
        <v>627</v>
      </c>
      <c r="D645" s="3010"/>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0" t="s">
        <v>1764</v>
      </c>
      <c r="AG645" s="3120"/>
      <c r="AH645" s="3120"/>
      <c r="AI645" s="3120"/>
      <c r="AJ645" s="3120"/>
      <c r="AK645" s="3120"/>
      <c r="AL645" s="3121"/>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1787</v>
      </c>
      <c r="F648" s="3007" t="s">
        <v>1788</v>
      </c>
      <c r="G648" s="3007"/>
      <c r="H648" s="3007"/>
      <c r="I648" s="3007"/>
      <c r="J648" s="3007"/>
      <c r="K648" s="3007"/>
      <c r="L648" s="3007"/>
      <c r="M648" s="3007"/>
      <c r="N648" s="3007"/>
      <c r="O648" s="3007"/>
      <c r="P648" s="3007"/>
      <c r="Q648" s="3007"/>
      <c r="R648" s="3007"/>
      <c r="S648" s="3007"/>
      <c r="T648" s="3007"/>
      <c r="U648" s="3007"/>
      <c r="V648" s="3007"/>
      <c r="W648" s="3007"/>
      <c r="X648" s="3007"/>
      <c r="Y648" s="3007"/>
      <c r="Z648" s="3007"/>
      <c r="AA648" s="3007"/>
      <c r="AB648" s="3007"/>
      <c r="AC648" s="3007"/>
      <c r="AD648" s="3007"/>
      <c r="AE648" s="300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8"/>
      <c r="G649" s="3008"/>
      <c r="H649" s="3008"/>
      <c r="I649" s="3008"/>
      <c r="J649" s="3008"/>
      <c r="K649" s="3008"/>
      <c r="L649" s="3008"/>
      <c r="M649" s="3008"/>
      <c r="N649" s="3008"/>
      <c r="O649" s="3008"/>
      <c r="P649" s="3008"/>
      <c r="Q649" s="3008"/>
      <c r="R649" s="3008"/>
      <c r="S649" s="3008"/>
      <c r="T649" s="3008"/>
      <c r="U649" s="3008"/>
      <c r="V649" s="3008"/>
      <c r="W649" s="3008"/>
      <c r="X649" s="3008"/>
      <c r="Y649" s="3008"/>
      <c r="Z649" s="3008"/>
      <c r="AA649" s="3008"/>
      <c r="AB649" s="3008"/>
      <c r="AC649" s="3008"/>
      <c r="AD649" s="3008"/>
      <c r="AE649" s="300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8"/>
      <c r="G650" s="3008"/>
      <c r="H650" s="3008"/>
      <c r="I650" s="3008"/>
      <c r="J650" s="3008"/>
      <c r="K650" s="3008"/>
      <c r="L650" s="3008"/>
      <c r="M650" s="3008"/>
      <c r="N650" s="3008"/>
      <c r="O650" s="3008"/>
      <c r="P650" s="3008"/>
      <c r="Q650" s="3008"/>
      <c r="R650" s="3008"/>
      <c r="S650" s="3008"/>
      <c r="T650" s="3008"/>
      <c r="U650" s="3008"/>
      <c r="V650" s="3008"/>
      <c r="W650" s="3008"/>
      <c r="X650" s="3008"/>
      <c r="Y650" s="3008"/>
      <c r="Z650" s="3008"/>
      <c r="AA650" s="3008"/>
      <c r="AB650" s="3008"/>
      <c r="AC650" s="3008"/>
      <c r="AD650" s="3008"/>
      <c r="AE650" s="300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8"/>
      <c r="G651" s="3008"/>
      <c r="H651" s="3008"/>
      <c r="I651" s="3008"/>
      <c r="J651" s="3008"/>
      <c r="K651" s="3008"/>
      <c r="L651" s="3008"/>
      <c r="M651" s="3008"/>
      <c r="N651" s="3008"/>
      <c r="O651" s="3008"/>
      <c r="P651" s="3008"/>
      <c r="Q651" s="3008"/>
      <c r="R651" s="3008"/>
      <c r="S651" s="3008"/>
      <c r="T651" s="3008"/>
      <c r="U651" s="3008"/>
      <c r="V651" s="3008"/>
      <c r="W651" s="3008"/>
      <c r="X651" s="3008"/>
      <c r="Y651" s="3008"/>
      <c r="Z651" s="3008"/>
      <c r="AA651" s="3008"/>
      <c r="AB651" s="3008"/>
      <c r="AC651" s="3008"/>
      <c r="AD651" s="3008"/>
      <c r="AE651" s="300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8"/>
      <c r="G652" s="3008"/>
      <c r="H652" s="3008"/>
      <c r="I652" s="3008"/>
      <c r="J652" s="3008"/>
      <c r="K652" s="3008"/>
      <c r="L652" s="3008"/>
      <c r="M652" s="3008"/>
      <c r="N652" s="3008"/>
      <c r="O652" s="3008"/>
      <c r="P652" s="3008"/>
      <c r="Q652" s="3008"/>
      <c r="R652" s="3008"/>
      <c r="S652" s="3008"/>
      <c r="T652" s="3008"/>
      <c r="U652" s="3008"/>
      <c r="V652" s="3008"/>
      <c r="W652" s="3008"/>
      <c r="X652" s="3008"/>
      <c r="Y652" s="3008"/>
      <c r="Z652" s="3008"/>
      <c r="AA652" s="3008"/>
      <c r="AB652" s="3008"/>
      <c r="AC652" s="3008"/>
      <c r="AD652" s="3008"/>
      <c r="AE652" s="300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8"/>
      <c r="G653" s="3008"/>
      <c r="H653" s="3008"/>
      <c r="I653" s="3008"/>
      <c r="J653" s="3008"/>
      <c r="K653" s="3008"/>
      <c r="L653" s="3008"/>
      <c r="M653" s="3008"/>
      <c r="N653" s="3008"/>
      <c r="O653" s="3008"/>
      <c r="P653" s="3008"/>
      <c r="Q653" s="3008"/>
      <c r="R653" s="3008"/>
      <c r="S653" s="3008"/>
      <c r="T653" s="3008"/>
      <c r="U653" s="3008"/>
      <c r="V653" s="3008"/>
      <c r="W653" s="3008"/>
      <c r="X653" s="3008"/>
      <c r="Y653" s="3008"/>
      <c r="Z653" s="3008"/>
      <c r="AA653" s="3008"/>
      <c r="AB653" s="3008"/>
      <c r="AC653" s="3008"/>
      <c r="AD653" s="3008"/>
      <c r="AE653" s="3008"/>
      <c r="AF653" s="1226"/>
      <c r="AG653" s="1226"/>
      <c r="AH653" s="1226"/>
      <c r="AI653" s="1226"/>
      <c r="AJ653" s="1226"/>
      <c r="AK653" s="1226"/>
      <c r="AL653" s="1227"/>
      <c r="AM653" s="1136"/>
      <c r="AN653" s="1002"/>
    </row>
    <row r="654" spans="1:60" s="945" customFormat="1" ht="12.75" customHeight="1">
      <c r="A654" s="929"/>
      <c r="B654" s="51"/>
      <c r="C654" s="1228"/>
      <c r="D654" s="1193"/>
      <c r="E654" s="1180"/>
      <c r="F654" s="3008"/>
      <c r="G654" s="3008"/>
      <c r="H654" s="3008"/>
      <c r="I654" s="3008"/>
      <c r="J654" s="3008"/>
      <c r="K654" s="3008"/>
      <c r="L654" s="3008"/>
      <c r="M654" s="3008"/>
      <c r="N654" s="3008"/>
      <c r="O654" s="3008"/>
      <c r="P654" s="3008"/>
      <c r="Q654" s="3008"/>
      <c r="R654" s="3008"/>
      <c r="S654" s="3008"/>
      <c r="T654" s="3008"/>
      <c r="U654" s="3008"/>
      <c r="V654" s="3008"/>
      <c r="W654" s="3008"/>
      <c r="X654" s="3008"/>
      <c r="Y654" s="3008"/>
      <c r="Z654" s="3008"/>
      <c r="AA654" s="3008"/>
      <c r="AB654" s="3008"/>
      <c r="AC654" s="3008"/>
      <c r="AD654" s="3008"/>
      <c r="AE654" s="3008"/>
      <c r="AF654" s="1226"/>
      <c r="AG654" s="1226"/>
      <c r="AH654" s="1226"/>
      <c r="AI654" s="1226"/>
      <c r="AJ654" s="1226"/>
      <c r="AK654" s="1226"/>
      <c r="AL654" s="1227"/>
      <c r="AM654" s="1136"/>
      <c r="AN654" s="1002"/>
    </row>
    <row r="655" spans="1:60" s="945" customFormat="1" ht="12.75" customHeight="1">
      <c r="A655" s="929"/>
      <c r="B655" s="51"/>
      <c r="C655" s="1228"/>
      <c r="D655" s="1193"/>
      <c r="E655" s="1180"/>
      <c r="F655" s="3008"/>
      <c r="G655" s="3008"/>
      <c r="H655" s="3008"/>
      <c r="I655" s="3008"/>
      <c r="J655" s="3008"/>
      <c r="K655" s="3008"/>
      <c r="L655" s="3008"/>
      <c r="M655" s="3008"/>
      <c r="N655" s="3008"/>
      <c r="O655" s="3008"/>
      <c r="P655" s="3008"/>
      <c r="Q655" s="3008"/>
      <c r="R655" s="3008"/>
      <c r="S655" s="3008"/>
      <c r="T655" s="3008"/>
      <c r="U655" s="3008"/>
      <c r="V655" s="3008"/>
      <c r="W655" s="3008"/>
      <c r="X655" s="3008"/>
      <c r="Y655" s="3008"/>
      <c r="Z655" s="3008"/>
      <c r="AA655" s="3008"/>
      <c r="AB655" s="3008"/>
      <c r="AC655" s="3008"/>
      <c r="AD655" s="3008"/>
      <c r="AE655" s="3008"/>
      <c r="AF655" s="1226"/>
      <c r="AG655" s="1226"/>
      <c r="AH655" s="1226"/>
      <c r="AI655" s="1226"/>
      <c r="AJ655" s="1226"/>
      <c r="AK655" s="1226"/>
      <c r="AL655" s="1227"/>
      <c r="AM655" s="1136"/>
      <c r="AN655" s="1002"/>
    </row>
    <row r="656" spans="1:60" s="945" customFormat="1" ht="17.25" customHeight="1">
      <c r="A656" s="929"/>
      <c r="B656" s="51"/>
      <c r="C656" s="1228"/>
      <c r="D656" s="1193"/>
      <c r="E656" s="1180"/>
      <c r="F656" s="3008"/>
      <c r="G656" s="3008"/>
      <c r="H656" s="3008"/>
      <c r="I656" s="3008"/>
      <c r="J656" s="3008"/>
      <c r="K656" s="3008"/>
      <c r="L656" s="3008"/>
      <c r="M656" s="3008"/>
      <c r="N656" s="3008"/>
      <c r="O656" s="3008"/>
      <c r="P656" s="3008"/>
      <c r="Q656" s="3008"/>
      <c r="R656" s="3008"/>
      <c r="S656" s="3008"/>
      <c r="T656" s="3008"/>
      <c r="U656" s="3008"/>
      <c r="V656" s="3008"/>
      <c r="W656" s="3008"/>
      <c r="X656" s="3008"/>
      <c r="Y656" s="3008"/>
      <c r="Z656" s="3008"/>
      <c r="AA656" s="3008"/>
      <c r="AB656" s="3008"/>
      <c r="AC656" s="3008"/>
      <c r="AD656" s="3008"/>
      <c r="AE656" s="3008"/>
      <c r="AF656" s="1027"/>
      <c r="AG656" s="1027"/>
      <c r="AH656" s="1027"/>
      <c r="AI656" s="1027"/>
      <c r="AJ656" s="1027"/>
      <c r="AK656" s="1027"/>
      <c r="AL656" s="1195"/>
      <c r="AM656" s="1136"/>
      <c r="AN656" s="1002"/>
    </row>
    <row r="657" spans="1:54" s="945" customFormat="1" ht="12.75" customHeight="1">
      <c r="A657" s="929"/>
      <c r="B657" s="51"/>
      <c r="C657" s="3009" t="s">
        <v>627</v>
      </c>
      <c r="D657" s="3010"/>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0" t="s">
        <v>1764</v>
      </c>
      <c r="AG657" s="3120"/>
      <c r="AH657" s="3120"/>
      <c r="AI657" s="3120"/>
      <c r="AJ657" s="3120"/>
      <c r="AK657" s="3120"/>
      <c r="AL657" s="3121"/>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007" t="s">
        <v>1791</v>
      </c>
      <c r="G660" s="3007"/>
      <c r="H660" s="3007"/>
      <c r="I660" s="3007"/>
      <c r="J660" s="3007"/>
      <c r="K660" s="3007"/>
      <c r="L660" s="3007"/>
      <c r="M660" s="3007"/>
      <c r="N660" s="3007"/>
      <c r="O660" s="3007"/>
      <c r="P660" s="3007"/>
      <c r="Q660" s="3007"/>
      <c r="R660" s="3007"/>
      <c r="S660" s="3007"/>
      <c r="T660" s="3007"/>
      <c r="U660" s="3007"/>
      <c r="V660" s="3007"/>
      <c r="W660" s="3007"/>
      <c r="X660" s="3007"/>
      <c r="Y660" s="3007"/>
      <c r="Z660" s="3007"/>
      <c r="AA660" s="3007"/>
      <c r="AB660" s="3007"/>
      <c r="AC660" s="3007"/>
      <c r="AD660" s="3007"/>
      <c r="AE660" s="3007"/>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8"/>
      <c r="G661" s="3008"/>
      <c r="H661" s="3008"/>
      <c r="I661" s="3008"/>
      <c r="J661" s="3008"/>
      <c r="K661" s="3008"/>
      <c r="L661" s="3008"/>
      <c r="M661" s="3008"/>
      <c r="N661" s="3008"/>
      <c r="O661" s="3008"/>
      <c r="P661" s="3008"/>
      <c r="Q661" s="3008"/>
      <c r="R661" s="3008"/>
      <c r="S661" s="3008"/>
      <c r="T661" s="3008"/>
      <c r="U661" s="3008"/>
      <c r="V661" s="3008"/>
      <c r="W661" s="3008"/>
      <c r="X661" s="3008"/>
      <c r="Y661" s="3008"/>
      <c r="Z661" s="3008"/>
      <c r="AA661" s="3008"/>
      <c r="AB661" s="3008"/>
      <c r="AC661" s="3008"/>
      <c r="AD661" s="3008"/>
      <c r="AE661" s="3008"/>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008"/>
      <c r="G662" s="3008"/>
      <c r="H662" s="3008"/>
      <c r="I662" s="3008"/>
      <c r="J662" s="3008"/>
      <c r="K662" s="3008"/>
      <c r="L662" s="3008"/>
      <c r="M662" s="3008"/>
      <c r="N662" s="3008"/>
      <c r="O662" s="3008"/>
      <c r="P662" s="3008"/>
      <c r="Q662" s="3008"/>
      <c r="R662" s="3008"/>
      <c r="S662" s="3008"/>
      <c r="T662" s="3008"/>
      <c r="U662" s="3008"/>
      <c r="V662" s="3008"/>
      <c r="W662" s="3008"/>
      <c r="X662" s="3008"/>
      <c r="Y662" s="3008"/>
      <c r="Z662" s="3008"/>
      <c r="AA662" s="3008"/>
      <c r="AB662" s="3008"/>
      <c r="AC662" s="3008"/>
      <c r="AD662" s="3008"/>
      <c r="AE662" s="3008"/>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008"/>
      <c r="G663" s="3008"/>
      <c r="H663" s="3008"/>
      <c r="I663" s="3008"/>
      <c r="J663" s="3008"/>
      <c r="K663" s="3008"/>
      <c r="L663" s="3008"/>
      <c r="M663" s="3008"/>
      <c r="N663" s="3008"/>
      <c r="O663" s="3008"/>
      <c r="P663" s="3008"/>
      <c r="Q663" s="3008"/>
      <c r="R663" s="3008"/>
      <c r="S663" s="3008"/>
      <c r="T663" s="3008"/>
      <c r="U663" s="3008"/>
      <c r="V663" s="3008"/>
      <c r="W663" s="3008"/>
      <c r="X663" s="3008"/>
      <c r="Y663" s="3008"/>
      <c r="Z663" s="3008"/>
      <c r="AA663" s="3008"/>
      <c r="AB663" s="3008"/>
      <c r="AC663" s="3008"/>
      <c r="AD663" s="3008"/>
      <c r="AE663" s="3008"/>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009" t="s">
        <v>627</v>
      </c>
      <c r="D664" s="3010"/>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0" t="s">
        <v>1764</v>
      </c>
      <c r="AG664" s="3120"/>
      <c r="AH664" s="3120"/>
      <c r="AI664" s="3120"/>
      <c r="AJ664" s="3120"/>
      <c r="AK664" s="3120"/>
      <c r="AL664" s="3121"/>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22" t="s">
        <v>627</v>
      </c>
      <c r="D668" s="3123"/>
      <c r="E668" s="1176" t="s">
        <v>1800</v>
      </c>
      <c r="F668" s="3007" t="s">
        <v>1801</v>
      </c>
      <c r="G668" s="3007"/>
      <c r="H668" s="3007"/>
      <c r="I668" s="3007"/>
      <c r="J668" s="3007"/>
      <c r="K668" s="3007"/>
      <c r="L668" s="3007"/>
      <c r="M668" s="3007"/>
      <c r="N668" s="3007"/>
      <c r="O668" s="3007"/>
      <c r="P668" s="3007"/>
      <c r="Q668" s="3007"/>
      <c r="R668" s="3007"/>
      <c r="S668" s="3007"/>
      <c r="T668" s="3007"/>
      <c r="U668" s="3007"/>
      <c r="V668" s="3007"/>
      <c r="W668" s="3007"/>
      <c r="X668" s="3007"/>
      <c r="Y668" s="3007"/>
      <c r="Z668" s="3007"/>
      <c r="AA668" s="3007"/>
      <c r="AB668" s="3007"/>
      <c r="AC668" s="3007"/>
      <c r="AD668" s="3007"/>
      <c r="AE668" s="3007"/>
      <c r="AF668" s="3116" t="s">
        <v>1764</v>
      </c>
      <c r="AG668" s="3116"/>
      <c r="AH668" s="3116"/>
      <c r="AI668" s="3116"/>
      <c r="AJ668" s="3116"/>
      <c r="AK668" s="3116"/>
      <c r="AL668" s="3117"/>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8"/>
      <c r="G669" s="3008"/>
      <c r="H669" s="3008"/>
      <c r="I669" s="3008"/>
      <c r="J669" s="3008"/>
      <c r="K669" s="3008"/>
      <c r="L669" s="3008"/>
      <c r="M669" s="3008"/>
      <c r="N669" s="3008"/>
      <c r="O669" s="3008"/>
      <c r="P669" s="3008"/>
      <c r="Q669" s="3008"/>
      <c r="R669" s="3008"/>
      <c r="S669" s="3008"/>
      <c r="T669" s="3008"/>
      <c r="U669" s="3008"/>
      <c r="V669" s="3008"/>
      <c r="W669" s="3008"/>
      <c r="X669" s="3008"/>
      <c r="Y669" s="3008"/>
      <c r="Z669" s="3008"/>
      <c r="AA669" s="3008"/>
      <c r="AB669" s="3008"/>
      <c r="AC669" s="3008"/>
      <c r="AD669" s="3008"/>
      <c r="AE669" s="3008"/>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7" customHeight="1">
      <c r="A670" s="929"/>
      <c r="B670" s="51"/>
      <c r="C670" s="1238"/>
      <c r="D670" s="1186"/>
      <c r="E670" s="1187"/>
      <c r="F670" s="3115"/>
      <c r="G670" s="3115"/>
      <c r="H670" s="3115"/>
      <c r="I670" s="3115"/>
      <c r="J670" s="3115"/>
      <c r="K670" s="3115"/>
      <c r="L670" s="3115"/>
      <c r="M670" s="3115"/>
      <c r="N670" s="3115"/>
      <c r="O670" s="3115"/>
      <c r="P670" s="3115"/>
      <c r="Q670" s="3115"/>
      <c r="R670" s="3115"/>
      <c r="S670" s="3115"/>
      <c r="T670" s="3115"/>
      <c r="U670" s="3115"/>
      <c r="V670" s="3115"/>
      <c r="W670" s="3115"/>
      <c r="X670" s="3115"/>
      <c r="Y670" s="3115"/>
      <c r="Z670" s="3115"/>
      <c r="AA670" s="3115"/>
      <c r="AB670" s="3115"/>
      <c r="AC670" s="3115"/>
      <c r="AD670" s="3115"/>
      <c r="AE670" s="3115"/>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009" t="s">
        <v>627</v>
      </c>
      <c r="D672" s="3010"/>
      <c r="E672" s="1176" t="s">
        <v>1806</v>
      </c>
      <c r="F672" s="3007" t="s">
        <v>1807</v>
      </c>
      <c r="G672" s="3007"/>
      <c r="H672" s="3007"/>
      <c r="I672" s="3007"/>
      <c r="J672" s="3007"/>
      <c r="K672" s="3007"/>
      <c r="L672" s="3007"/>
      <c r="M672" s="3007"/>
      <c r="N672" s="3007"/>
      <c r="O672" s="3007"/>
      <c r="P672" s="3007"/>
      <c r="Q672" s="3007"/>
      <c r="R672" s="3007"/>
      <c r="S672" s="3007"/>
      <c r="T672" s="3007"/>
      <c r="U672" s="3007"/>
      <c r="V672" s="3007"/>
      <c r="W672" s="3007"/>
      <c r="X672" s="3007"/>
      <c r="Y672" s="3007"/>
      <c r="Z672" s="3007"/>
      <c r="AA672" s="3007"/>
      <c r="AB672" s="3007"/>
      <c r="AC672" s="3007"/>
      <c r="AD672" s="3007"/>
      <c r="AE672" s="3007"/>
      <c r="AF672" s="3116" t="s">
        <v>1764</v>
      </c>
      <c r="AG672" s="3116"/>
      <c r="AH672" s="3116"/>
      <c r="AI672" s="3116"/>
      <c r="AJ672" s="3116"/>
      <c r="AK672" s="3116"/>
      <c r="AL672" s="3117"/>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008"/>
      <c r="G673" s="3008"/>
      <c r="H673" s="3008"/>
      <c r="I673" s="3008"/>
      <c r="J673" s="3008"/>
      <c r="K673" s="3008"/>
      <c r="L673" s="3008"/>
      <c r="M673" s="3008"/>
      <c r="N673" s="3008"/>
      <c r="O673" s="3008"/>
      <c r="P673" s="3008"/>
      <c r="Q673" s="3008"/>
      <c r="R673" s="3008"/>
      <c r="S673" s="3008"/>
      <c r="T673" s="3008"/>
      <c r="U673" s="3008"/>
      <c r="V673" s="3008"/>
      <c r="W673" s="3008"/>
      <c r="X673" s="3008"/>
      <c r="Y673" s="3008"/>
      <c r="Z673" s="3008"/>
      <c r="AA673" s="3008"/>
      <c r="AB673" s="3008"/>
      <c r="AC673" s="3008"/>
      <c r="AD673" s="3008"/>
      <c r="AE673" s="300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8"/>
      <c r="G674" s="3008"/>
      <c r="H674" s="3008"/>
      <c r="I674" s="3008"/>
      <c r="J674" s="3008"/>
      <c r="K674" s="3008"/>
      <c r="L674" s="3008"/>
      <c r="M674" s="3008"/>
      <c r="N674" s="3008"/>
      <c r="O674" s="3008"/>
      <c r="P674" s="3008"/>
      <c r="Q674" s="3008"/>
      <c r="R674" s="3008"/>
      <c r="S674" s="3008"/>
      <c r="T674" s="3008"/>
      <c r="U674" s="3008"/>
      <c r="V674" s="3008"/>
      <c r="W674" s="3008"/>
      <c r="X674" s="3008"/>
      <c r="Y674" s="3008"/>
      <c r="Z674" s="3008"/>
      <c r="AA674" s="3008"/>
      <c r="AB674" s="3008"/>
      <c r="AC674" s="3008"/>
      <c r="AD674" s="3008"/>
      <c r="AE674" s="3008"/>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15"/>
      <c r="G675" s="3115"/>
      <c r="H675" s="3115"/>
      <c r="I675" s="3115"/>
      <c r="J675" s="3115"/>
      <c r="K675" s="3115"/>
      <c r="L675" s="3115"/>
      <c r="M675" s="3115"/>
      <c r="N675" s="3115"/>
      <c r="O675" s="3115"/>
      <c r="P675" s="3115"/>
      <c r="Q675" s="3115"/>
      <c r="R675" s="3115"/>
      <c r="S675" s="3115"/>
      <c r="T675" s="3115"/>
      <c r="U675" s="3115"/>
      <c r="V675" s="3115"/>
      <c r="W675" s="3115"/>
      <c r="X675" s="3115"/>
      <c r="Y675" s="3115"/>
      <c r="Z675" s="3115"/>
      <c r="AA675" s="3115"/>
      <c r="AB675" s="3115"/>
      <c r="AC675" s="3115"/>
      <c r="AD675" s="3115"/>
      <c r="AE675" s="311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18" t="s">
        <v>1810</v>
      </c>
      <c r="G677" s="3118"/>
      <c r="H677" s="3118"/>
      <c r="I677" s="3118"/>
      <c r="J677" s="3118"/>
      <c r="K677" s="3118"/>
      <c r="L677" s="3118"/>
      <c r="M677" s="3118"/>
      <c r="N677" s="3118"/>
      <c r="O677" s="3118"/>
      <c r="P677" s="3118"/>
      <c r="Q677" s="3118"/>
      <c r="R677" s="3118"/>
      <c r="S677" s="3118"/>
      <c r="T677" s="3118"/>
      <c r="U677" s="3118"/>
      <c r="V677" s="3118"/>
      <c r="W677" s="3118"/>
      <c r="X677" s="3118"/>
      <c r="Y677" s="3118"/>
      <c r="Z677" s="3118"/>
      <c r="AA677" s="3118"/>
      <c r="AB677" s="3118"/>
      <c r="AC677" s="3118"/>
      <c r="AD677" s="3118"/>
      <c r="AE677" s="3118"/>
      <c r="AF677" s="3118"/>
      <c r="AG677" s="1210"/>
      <c r="AH677" s="1175"/>
      <c r="AI677" s="1175"/>
      <c r="AJ677" s="1175"/>
      <c r="AK677" s="1175"/>
      <c r="AL677" s="1211"/>
      <c r="AM677" s="1136"/>
      <c r="AN677" s="1002"/>
    </row>
    <row r="678" spans="1:54" s="945" customFormat="1" ht="12.75" customHeight="1">
      <c r="A678" s="929"/>
      <c r="B678" s="51"/>
      <c r="C678" s="1194"/>
      <c r="D678" s="112"/>
      <c r="E678" s="1148"/>
      <c r="F678" s="3119"/>
      <c r="G678" s="3119"/>
      <c r="H678" s="3119"/>
      <c r="I678" s="3119"/>
      <c r="J678" s="3119"/>
      <c r="K678" s="3119"/>
      <c r="L678" s="3119"/>
      <c r="M678" s="3119"/>
      <c r="N678" s="3119"/>
      <c r="O678" s="3119"/>
      <c r="P678" s="3119"/>
      <c r="Q678" s="3119"/>
      <c r="R678" s="3119"/>
      <c r="S678" s="3119"/>
      <c r="T678" s="3119"/>
      <c r="U678" s="3119"/>
      <c r="V678" s="3119"/>
      <c r="W678" s="3119"/>
      <c r="X678" s="3119"/>
      <c r="Y678" s="3119"/>
      <c r="Z678" s="3119"/>
      <c r="AA678" s="3119"/>
      <c r="AB678" s="3119"/>
      <c r="AC678" s="3119"/>
      <c r="AD678" s="3119"/>
      <c r="AE678" s="3119"/>
      <c r="AF678" s="3119"/>
      <c r="AG678" s="1027"/>
      <c r="AH678" s="1027"/>
      <c r="AI678" s="1027"/>
      <c r="AJ678" s="1027"/>
      <c r="AK678" s="1027"/>
      <c r="AL678" s="1195"/>
      <c r="AM678" s="1136"/>
      <c r="AN678" s="1002"/>
    </row>
    <row r="679" spans="1:54" s="945" customFormat="1" ht="12.75" customHeight="1">
      <c r="A679" s="929"/>
      <c r="B679" s="51"/>
      <c r="C679" s="1203"/>
      <c r="D679" s="1027"/>
      <c r="E679" s="1027"/>
      <c r="F679" s="3119"/>
      <c r="G679" s="3119"/>
      <c r="H679" s="3119"/>
      <c r="I679" s="3119"/>
      <c r="J679" s="3119"/>
      <c r="K679" s="3119"/>
      <c r="L679" s="3119"/>
      <c r="M679" s="3119"/>
      <c r="N679" s="3119"/>
      <c r="O679" s="3119"/>
      <c r="P679" s="3119"/>
      <c r="Q679" s="3119"/>
      <c r="R679" s="3119"/>
      <c r="S679" s="3119"/>
      <c r="T679" s="3119"/>
      <c r="U679" s="3119"/>
      <c r="V679" s="3119"/>
      <c r="W679" s="3119"/>
      <c r="X679" s="3119"/>
      <c r="Y679" s="3119"/>
      <c r="Z679" s="3119"/>
      <c r="AA679" s="3119"/>
      <c r="AB679" s="3119"/>
      <c r="AC679" s="3119"/>
      <c r="AD679" s="3119"/>
      <c r="AE679" s="3119"/>
      <c r="AF679" s="3119"/>
      <c r="AG679" s="1027"/>
      <c r="AH679" s="1027"/>
      <c r="AI679" s="1027"/>
      <c r="AJ679" s="1027"/>
      <c r="AK679" s="1027"/>
      <c r="AL679" s="1195"/>
      <c r="AM679" s="1136"/>
      <c r="AN679" s="1002"/>
    </row>
    <row r="680" spans="1:54" s="945" customFormat="1" ht="12.75" customHeight="1">
      <c r="A680" s="929"/>
      <c r="B680" s="51"/>
      <c r="C680" s="1203"/>
      <c r="D680" s="1027"/>
      <c r="E680" s="1027"/>
      <c r="F680" s="3119"/>
      <c r="G680" s="3119"/>
      <c r="H680" s="3119"/>
      <c r="I680" s="3119"/>
      <c r="J680" s="3119"/>
      <c r="K680" s="3119"/>
      <c r="L680" s="3119"/>
      <c r="M680" s="3119"/>
      <c r="N680" s="3119"/>
      <c r="O680" s="3119"/>
      <c r="P680" s="3119"/>
      <c r="Q680" s="3119"/>
      <c r="R680" s="3119"/>
      <c r="S680" s="3119"/>
      <c r="T680" s="3119"/>
      <c r="U680" s="3119"/>
      <c r="V680" s="3119"/>
      <c r="W680" s="3119"/>
      <c r="X680" s="3119"/>
      <c r="Y680" s="3119"/>
      <c r="Z680" s="3119"/>
      <c r="AA680" s="3119"/>
      <c r="AB680" s="3119"/>
      <c r="AC680" s="3119"/>
      <c r="AD680" s="3119"/>
      <c r="AE680" s="3119"/>
      <c r="AF680" s="3119"/>
      <c r="AG680" s="1027"/>
      <c r="AH680" s="1027"/>
      <c r="AI680" s="1027"/>
      <c r="AJ680" s="1027"/>
      <c r="AK680" s="1027"/>
      <c r="AL680" s="1195"/>
      <c r="AM680" s="1136"/>
      <c r="AN680" s="1002"/>
    </row>
    <row r="681" spans="1:54" s="945" customFormat="1" ht="12.75" customHeight="1">
      <c r="A681" s="929"/>
      <c r="B681" s="51"/>
      <c r="C681" s="3009" t="s">
        <v>627</v>
      </c>
      <c r="D681" s="3010"/>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1" t="s">
        <v>1764</v>
      </c>
      <c r="AG681" s="3011"/>
      <c r="AH681" s="3011"/>
      <c r="AI681" s="3011"/>
      <c r="AJ681" s="3011"/>
      <c r="AK681" s="3011"/>
      <c r="AL681" s="301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14">
        <f>IF(AS575=0,AS573,AS575)</f>
        <v>10</v>
      </c>
      <c r="AL684" s="3036"/>
      <c r="AM684" s="3015"/>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1" t="s">
        <v>1814</v>
      </c>
      <c r="AF687" s="3071"/>
      <c r="AG687" s="3071"/>
      <c r="AH687" s="3071"/>
      <c r="AI687" s="3071"/>
      <c r="AJ687" s="3071"/>
      <c r="AK687" s="3071"/>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097" t="s">
        <v>627</v>
      </c>
      <c r="D693" s="3098"/>
      <c r="E693" s="1250" t="s">
        <v>541</v>
      </c>
      <c r="F693" s="3106" t="s">
        <v>1820</v>
      </c>
      <c r="G693" s="3106"/>
      <c r="H693" s="3106"/>
      <c r="I693" s="3106"/>
      <c r="J693" s="3106"/>
      <c r="K693" s="3106"/>
      <c r="L693" s="3106"/>
      <c r="M693" s="3106"/>
      <c r="N693" s="3106"/>
      <c r="O693" s="3106"/>
      <c r="P693" s="3106"/>
      <c r="Q693" s="3106"/>
      <c r="R693" s="3106"/>
      <c r="S693" s="3106"/>
      <c r="T693" s="3106"/>
      <c r="U693" s="3106"/>
      <c r="V693" s="3106"/>
      <c r="W693" s="3106"/>
      <c r="X693" s="3106"/>
      <c r="Y693" s="3106"/>
      <c r="Z693" s="3106"/>
      <c r="AA693" s="3106"/>
      <c r="AB693" s="3106"/>
      <c r="AC693" s="3106"/>
      <c r="AD693" s="3106"/>
      <c r="AE693" s="3106"/>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07"/>
      <c r="G694" s="3107"/>
      <c r="H694" s="3107"/>
      <c r="I694" s="3107"/>
      <c r="J694" s="3107"/>
      <c r="K694" s="3107"/>
      <c r="L694" s="3107"/>
      <c r="M694" s="3107"/>
      <c r="N694" s="3107"/>
      <c r="O694" s="3107"/>
      <c r="P694" s="3107"/>
      <c r="Q694" s="3107"/>
      <c r="R694" s="3107"/>
      <c r="S694" s="3107"/>
      <c r="T694" s="3107"/>
      <c r="U694" s="3107"/>
      <c r="V694" s="3107"/>
      <c r="W694" s="3107"/>
      <c r="X694" s="3107"/>
      <c r="Y694" s="3107"/>
      <c r="Z694" s="3107"/>
      <c r="AA694" s="3107"/>
      <c r="AB694" s="3107"/>
      <c r="AC694" s="3107"/>
      <c r="AD694" s="3107"/>
      <c r="AE694" s="3107"/>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12" t="s">
        <v>627</v>
      </c>
      <c r="G695" s="3112"/>
      <c r="H695" s="3112"/>
      <c r="I695" s="3112"/>
      <c r="J695" s="3112"/>
      <c r="K695" s="3112"/>
      <c r="L695" s="3112"/>
      <c r="M695" s="3112"/>
      <c r="N695" s="3112"/>
      <c r="O695" s="3112"/>
      <c r="P695" s="3112"/>
      <c r="Q695" s="3112"/>
      <c r="R695" s="3112"/>
      <c r="S695" s="3112"/>
      <c r="T695" s="3112"/>
      <c r="U695" s="3112"/>
      <c r="V695" s="3112"/>
      <c r="W695" s="3112"/>
      <c r="X695" s="3112"/>
      <c r="Y695" s="3112"/>
      <c r="Z695" s="3112"/>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13" t="s">
        <v>579</v>
      </c>
      <c r="D697" s="3114"/>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002" t="s">
        <v>627</v>
      </c>
      <c r="W700" s="3002"/>
      <c r="X700" s="3002"/>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002" t="s">
        <v>627</v>
      </c>
      <c r="W702" s="3002"/>
      <c r="X702" s="3002"/>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002" t="s">
        <v>627</v>
      </c>
      <c r="W707" s="3002"/>
      <c r="X707" s="3002"/>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00"/>
      <c r="E710" s="3100"/>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002" t="s">
        <v>627</v>
      </c>
      <c r="W711" s="3002"/>
      <c r="X711" s="3002"/>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002" t="s">
        <v>627</v>
      </c>
      <c r="W713" s="3002"/>
      <c r="X713" s="3002"/>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7" t="s">
        <v>627</v>
      </c>
      <c r="D716" s="3098"/>
      <c r="E716" s="1250" t="s">
        <v>541</v>
      </c>
      <c r="F716" s="3106" t="s">
        <v>1820</v>
      </c>
      <c r="G716" s="3106"/>
      <c r="H716" s="3106"/>
      <c r="I716" s="3106"/>
      <c r="J716" s="3106"/>
      <c r="K716" s="3106"/>
      <c r="L716" s="3106"/>
      <c r="M716" s="3106"/>
      <c r="N716" s="3106"/>
      <c r="O716" s="3106"/>
      <c r="P716" s="3106"/>
      <c r="Q716" s="3106"/>
      <c r="R716" s="3106"/>
      <c r="S716" s="3106"/>
      <c r="T716" s="3106"/>
      <c r="U716" s="3106"/>
      <c r="V716" s="3106"/>
      <c r="W716" s="3106"/>
      <c r="X716" s="3106"/>
      <c r="Y716" s="3106"/>
      <c r="Z716" s="3106"/>
      <c r="AA716" s="3106"/>
      <c r="AB716" s="3106"/>
      <c r="AC716" s="3106"/>
      <c r="AD716" s="3106"/>
      <c r="AE716" s="3106"/>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7"/>
      <c r="G717" s="3107"/>
      <c r="H717" s="3107"/>
      <c r="I717" s="3107"/>
      <c r="J717" s="3107"/>
      <c r="K717" s="3107"/>
      <c r="L717" s="3107"/>
      <c r="M717" s="3107"/>
      <c r="N717" s="3107"/>
      <c r="O717" s="3107"/>
      <c r="P717" s="3107"/>
      <c r="Q717" s="3107"/>
      <c r="R717" s="3107"/>
      <c r="S717" s="3107"/>
      <c r="T717" s="3107"/>
      <c r="U717" s="3107"/>
      <c r="V717" s="3107"/>
      <c r="W717" s="3107"/>
      <c r="X717" s="3107"/>
      <c r="Y717" s="3107"/>
      <c r="Z717" s="3107"/>
      <c r="AA717" s="3107"/>
      <c r="AB717" s="3107"/>
      <c r="AC717" s="3107"/>
      <c r="AD717" s="3107"/>
      <c r="AE717" s="3107"/>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8" t="s">
        <v>627</v>
      </c>
      <c r="G718" s="3108"/>
      <c r="H718" s="3108"/>
      <c r="I718" s="3108"/>
      <c r="J718" s="3108"/>
      <c r="K718" s="3108"/>
      <c r="L718" s="3108"/>
      <c r="M718" s="3108"/>
      <c r="N718" s="3108"/>
      <c r="O718" s="3108"/>
      <c r="P718" s="3108"/>
      <c r="Q718" s="3108"/>
      <c r="R718" s="3108"/>
      <c r="S718" s="3108"/>
      <c r="T718" s="3108"/>
      <c r="U718" s="3108"/>
      <c r="V718" s="3108"/>
      <c r="W718" s="3108"/>
      <c r="X718" s="3108"/>
      <c r="Y718" s="3108"/>
      <c r="Z718" s="3108"/>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7" t="s">
        <v>627</v>
      </c>
      <c r="D720" s="3098"/>
      <c r="E720" s="1250" t="s">
        <v>801</v>
      </c>
      <c r="F720" s="3109" t="s">
        <v>1842</v>
      </c>
      <c r="G720" s="3109"/>
      <c r="H720" s="3109"/>
      <c r="I720" s="3109"/>
      <c r="J720" s="3109"/>
      <c r="K720" s="3109"/>
      <c r="L720" s="3109"/>
      <c r="M720" s="3109"/>
      <c r="N720" s="3109"/>
      <c r="O720" s="3109"/>
      <c r="P720" s="3109"/>
      <c r="Q720" s="3109"/>
      <c r="R720" s="3109"/>
      <c r="S720" s="3109"/>
      <c r="T720" s="3109"/>
      <c r="U720" s="3109"/>
      <c r="V720" s="3109"/>
      <c r="W720" s="3109"/>
      <c r="X720" s="3109"/>
      <c r="Y720" s="3109"/>
      <c r="Z720" s="3109"/>
      <c r="AA720" s="3109"/>
      <c r="AB720" s="3109"/>
      <c r="AC720" s="3109"/>
      <c r="AD720" s="3109"/>
      <c r="AE720" s="310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10"/>
      <c r="G721" s="3110"/>
      <c r="H721" s="3110"/>
      <c r="I721" s="3110"/>
      <c r="J721" s="3110"/>
      <c r="K721" s="3110"/>
      <c r="L721" s="3110"/>
      <c r="M721" s="3110"/>
      <c r="N721" s="3110"/>
      <c r="O721" s="3110"/>
      <c r="P721" s="3110"/>
      <c r="Q721" s="3110"/>
      <c r="R721" s="3110"/>
      <c r="S721" s="3110"/>
      <c r="T721" s="3110"/>
      <c r="U721" s="3110"/>
      <c r="V721" s="3110"/>
      <c r="W721" s="3110"/>
      <c r="X721" s="3110"/>
      <c r="Y721" s="3110"/>
      <c r="Z721" s="3110"/>
      <c r="AA721" s="3110"/>
      <c r="AB721" s="3110"/>
      <c r="AC721" s="3110"/>
      <c r="AD721" s="3110"/>
      <c r="AE721" s="311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11" t="s">
        <v>627</v>
      </c>
      <c r="G723" s="3111"/>
      <c r="H723" s="311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097" t="s">
        <v>627</v>
      </c>
      <c r="D725" s="3098"/>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099"/>
      <c r="D727" s="3100"/>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101" t="s">
        <v>627</v>
      </c>
      <c r="H728" s="3101"/>
      <c r="I728" s="3101"/>
      <c r="J728" s="3101"/>
      <c r="K728" s="3101"/>
      <c r="L728" s="3101"/>
      <c r="M728" s="3101"/>
      <c r="N728" s="3101"/>
      <c r="O728" s="3101"/>
      <c r="P728" s="3101"/>
      <c r="Q728" s="3101"/>
      <c r="R728" s="3101"/>
      <c r="S728" s="3101"/>
      <c r="T728" s="3101"/>
      <c r="U728" s="3101"/>
      <c r="V728" s="3101"/>
      <c r="W728" s="3101"/>
      <c r="X728" s="3101"/>
      <c r="Y728" s="3101"/>
      <c r="Z728" s="3101"/>
      <c r="AA728" s="3101"/>
      <c r="AB728" s="3101"/>
      <c r="AC728" s="3101"/>
      <c r="AD728" s="3101"/>
      <c r="AE728" s="3101"/>
      <c r="AF728" s="3101"/>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2" t="s">
        <v>627</v>
      </c>
      <c r="D730" s="3103"/>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2" t="s">
        <v>627</v>
      </c>
      <c r="D734" s="3103"/>
      <c r="E734" s="1027"/>
      <c r="F734" s="1292" t="s">
        <v>1850</v>
      </c>
      <c r="G734" s="3104" t="s">
        <v>1851</v>
      </c>
      <c r="H734" s="3104"/>
      <c r="I734" s="3104"/>
      <c r="J734" s="3104"/>
      <c r="K734" s="3104"/>
      <c r="L734" s="3104"/>
      <c r="M734" s="3104"/>
      <c r="N734" s="3104"/>
      <c r="O734" s="3104"/>
      <c r="P734" s="3104"/>
      <c r="Q734" s="3104"/>
      <c r="R734" s="3104"/>
      <c r="S734" s="3104"/>
      <c r="T734" s="3104"/>
      <c r="U734" s="3104"/>
      <c r="V734" s="3104"/>
      <c r="W734" s="3104"/>
      <c r="X734" s="3104"/>
      <c r="Y734" s="3104"/>
      <c r="Z734" s="3104"/>
      <c r="AA734" s="3104"/>
      <c r="AB734" s="3104"/>
      <c r="AC734" s="3104"/>
      <c r="AD734" s="3104"/>
      <c r="AE734" s="3104"/>
      <c r="AF734" s="3104"/>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5"/>
      <c r="H735" s="3105"/>
      <c r="I735" s="3105"/>
      <c r="J735" s="3105"/>
      <c r="K735" s="3105"/>
      <c r="L735" s="3105"/>
      <c r="M735" s="3105"/>
      <c r="N735" s="3105"/>
      <c r="O735" s="3105"/>
      <c r="P735" s="3105"/>
      <c r="Q735" s="3105"/>
      <c r="R735" s="3105"/>
      <c r="S735" s="3105"/>
      <c r="T735" s="3105"/>
      <c r="U735" s="3105"/>
      <c r="V735" s="3105"/>
      <c r="W735" s="3105"/>
      <c r="X735" s="3105"/>
      <c r="Y735" s="3105"/>
      <c r="Z735" s="3105"/>
      <c r="AA735" s="3105"/>
      <c r="AB735" s="3105"/>
      <c r="AC735" s="3105"/>
      <c r="AD735" s="3105"/>
      <c r="AE735" s="3105"/>
      <c r="AF735" s="3105"/>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6" t="s">
        <v>627</v>
      </c>
      <c r="D738" s="3087"/>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8" t="s">
        <v>627</v>
      </c>
      <c r="G739" s="3088"/>
      <c r="H739" s="3088"/>
      <c r="I739" s="3088"/>
      <c r="J739" s="3088"/>
      <c r="K739" s="3088"/>
      <c r="L739" s="3088"/>
      <c r="M739" s="3088"/>
      <c r="N739" s="3088"/>
      <c r="O739" s="3088"/>
      <c r="P739" s="3088"/>
      <c r="Q739" s="3088"/>
      <c r="R739" s="3088"/>
      <c r="S739" s="3088"/>
      <c r="T739" s="3088"/>
      <c r="U739" s="3088"/>
      <c r="V739" s="3088"/>
      <c r="W739" s="3088"/>
      <c r="X739" s="3088"/>
      <c r="Y739" s="3088"/>
      <c r="Z739" s="3088"/>
      <c r="AA739" s="3088"/>
      <c r="AB739" s="3088"/>
      <c r="AC739" s="3088"/>
      <c r="AD739" s="3088"/>
      <c r="AE739" s="3088"/>
      <c r="AF739" s="308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9"/>
      <c r="G740" s="3089"/>
      <c r="H740" s="3089"/>
      <c r="I740" s="3089"/>
      <c r="J740" s="3089"/>
      <c r="K740" s="3089"/>
      <c r="L740" s="3089"/>
      <c r="M740" s="3089"/>
      <c r="N740" s="3089"/>
      <c r="O740" s="3089"/>
      <c r="P740" s="3089"/>
      <c r="Q740" s="3089"/>
      <c r="R740" s="3089"/>
      <c r="S740" s="3089"/>
      <c r="T740" s="3089"/>
      <c r="U740" s="3089"/>
      <c r="V740" s="3089"/>
      <c r="W740" s="3089"/>
      <c r="X740" s="3089"/>
      <c r="Y740" s="3089"/>
      <c r="Z740" s="3089"/>
      <c r="AA740" s="3089"/>
      <c r="AB740" s="3089"/>
      <c r="AC740" s="3089"/>
      <c r="AD740" s="3089"/>
      <c r="AE740" s="3089"/>
      <c r="AF740" s="308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14">
        <f>SUM(AG694:AG739)</f>
        <v>0</v>
      </c>
      <c r="AL750" s="3036"/>
      <c r="AM750" s="301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0" t="s">
        <v>1865</v>
      </c>
      <c r="AF753" s="3090"/>
      <c r="AG753" s="3090"/>
      <c r="AH753" s="3090"/>
      <c r="AI753" s="3090"/>
      <c r="AJ753" s="3090"/>
      <c r="AK753" s="3090"/>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10" t="s">
        <v>627</v>
      </c>
      <c r="D756" s="3010"/>
      <c r="E756" s="946"/>
      <c r="F756" s="3091" t="s">
        <v>1866</v>
      </c>
      <c r="G756" s="3092"/>
      <c r="H756" s="3092"/>
      <c r="I756" s="3092"/>
      <c r="J756" s="3092"/>
      <c r="K756" s="3092"/>
      <c r="L756" s="3092"/>
      <c r="M756" s="3092"/>
      <c r="N756" s="3092"/>
      <c r="O756" s="3092"/>
      <c r="P756" s="3092"/>
      <c r="Q756" s="3092"/>
      <c r="R756" s="3092"/>
      <c r="S756" s="3092"/>
      <c r="T756" s="3092"/>
      <c r="U756" s="3092"/>
      <c r="V756" s="3092"/>
      <c r="W756" s="3092"/>
      <c r="X756" s="3092"/>
      <c r="Y756" s="3092"/>
      <c r="Z756" s="3092"/>
      <c r="AA756" s="3092"/>
      <c r="AB756" s="3092"/>
      <c r="AC756" s="3092"/>
      <c r="AD756" s="3092"/>
      <c r="AE756" s="3092"/>
      <c r="AF756" s="3092"/>
      <c r="AG756" s="3092"/>
      <c r="AH756" s="3092"/>
      <c r="AI756" s="3092"/>
      <c r="AJ756" s="3092"/>
      <c r="AK756" s="3092"/>
      <c r="AL756" s="3093"/>
      <c r="AM756" s="1007"/>
      <c r="AN756" s="1002"/>
    </row>
    <row r="757" spans="1:49" s="945" customFormat="1" ht="12.75" customHeight="1">
      <c r="A757" s="1014"/>
      <c r="B757" s="1014"/>
      <c r="C757" s="946"/>
      <c r="D757" s="946"/>
      <c r="E757" s="946"/>
      <c r="F757" s="3094"/>
      <c r="G757" s="3095"/>
      <c r="H757" s="3095"/>
      <c r="I757" s="3095"/>
      <c r="J757" s="3095"/>
      <c r="K757" s="3095"/>
      <c r="L757" s="3095"/>
      <c r="M757" s="3095"/>
      <c r="N757" s="3095"/>
      <c r="O757" s="3095"/>
      <c r="P757" s="3095"/>
      <c r="Q757" s="3095"/>
      <c r="R757" s="3095"/>
      <c r="S757" s="3095"/>
      <c r="T757" s="3095"/>
      <c r="U757" s="3095"/>
      <c r="V757" s="3095"/>
      <c r="W757" s="3095"/>
      <c r="X757" s="3095"/>
      <c r="Y757" s="3095"/>
      <c r="Z757" s="3095"/>
      <c r="AA757" s="3095"/>
      <c r="AB757" s="3095"/>
      <c r="AC757" s="3095"/>
      <c r="AD757" s="3095"/>
      <c r="AE757" s="3095"/>
      <c r="AF757" s="3095"/>
      <c r="AG757" s="3095"/>
      <c r="AH757" s="3095"/>
      <c r="AI757" s="3095"/>
      <c r="AJ757" s="3095"/>
      <c r="AK757" s="3095"/>
      <c r="AL757" s="3096"/>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10" t="s">
        <v>579</v>
      </c>
      <c r="D759" s="3010"/>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8" t="s">
        <v>1868</v>
      </c>
      <c r="G760" s="3079"/>
      <c r="H760" s="3079"/>
      <c r="I760" s="3079"/>
      <c r="J760" s="3079"/>
      <c r="K760" s="3079"/>
      <c r="L760" s="3079"/>
      <c r="M760" s="3079"/>
      <c r="N760" s="3079"/>
      <c r="O760" s="3079"/>
      <c r="P760" s="3079"/>
      <c r="Q760" s="3079"/>
      <c r="R760" s="3079"/>
      <c r="S760" s="3079"/>
      <c r="T760" s="3079"/>
      <c r="U760" s="3079"/>
      <c r="V760" s="3079"/>
      <c r="W760" s="3079"/>
      <c r="X760" s="3079"/>
      <c r="Y760" s="3079"/>
      <c r="Z760" s="3079"/>
      <c r="AA760" s="3079"/>
      <c r="AB760" s="3079"/>
      <c r="AC760" s="3079"/>
      <c r="AD760" s="3079"/>
      <c r="AE760" s="3079"/>
      <c r="AF760" s="3079"/>
      <c r="AG760" s="3079"/>
      <c r="AH760" s="3079"/>
      <c r="AI760" s="3079"/>
      <c r="AJ760" s="3079"/>
      <c r="AK760" s="3079"/>
      <c r="AL760" s="3080"/>
      <c r="AM760" s="1007"/>
      <c r="AN760" s="1002"/>
      <c r="AS760" s="1485"/>
      <c r="AT760" s="1485"/>
      <c r="AU760" s="1485"/>
      <c r="AV760" s="1485"/>
      <c r="AW760" s="1485"/>
    </row>
    <row r="761" spans="1:49" s="945" customFormat="1" ht="12.75" customHeight="1">
      <c r="A761" s="1028"/>
      <c r="B761" s="1307"/>
      <c r="C761" s="1307"/>
      <c r="D761" s="1307"/>
      <c r="E761" s="1307"/>
      <c r="F761" s="3078"/>
      <c r="G761" s="3079"/>
      <c r="H761" s="3079"/>
      <c r="I761" s="3079"/>
      <c r="J761" s="3079"/>
      <c r="K761" s="3079"/>
      <c r="L761" s="3079"/>
      <c r="M761" s="3079"/>
      <c r="N761" s="3079"/>
      <c r="O761" s="3079"/>
      <c r="P761" s="3079"/>
      <c r="Q761" s="3079"/>
      <c r="R761" s="3079"/>
      <c r="S761" s="3079"/>
      <c r="T761" s="3079"/>
      <c r="U761" s="3079"/>
      <c r="V761" s="3079"/>
      <c r="W761" s="3079"/>
      <c r="X761" s="3079"/>
      <c r="Y761" s="3079"/>
      <c r="Z761" s="3079"/>
      <c r="AA761" s="3079"/>
      <c r="AB761" s="3079"/>
      <c r="AC761" s="3079"/>
      <c r="AD761" s="3079"/>
      <c r="AE761" s="3079"/>
      <c r="AF761" s="3079"/>
      <c r="AG761" s="3079"/>
      <c r="AH761" s="3079"/>
      <c r="AI761" s="3079"/>
      <c r="AJ761" s="3079"/>
      <c r="AK761" s="3079"/>
      <c r="AL761" s="3080"/>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8" t="s">
        <v>1870</v>
      </c>
      <c r="G763" s="3079"/>
      <c r="H763" s="3079"/>
      <c r="I763" s="3079"/>
      <c r="J763" s="3079"/>
      <c r="K763" s="3079"/>
      <c r="L763" s="3079"/>
      <c r="M763" s="3079"/>
      <c r="N763" s="3079"/>
      <c r="O763" s="3079"/>
      <c r="P763" s="3079"/>
      <c r="Q763" s="3079"/>
      <c r="R763" s="3079"/>
      <c r="S763" s="3079"/>
      <c r="T763" s="3079"/>
      <c r="U763" s="3079"/>
      <c r="V763" s="3079"/>
      <c r="W763" s="3079"/>
      <c r="X763" s="3079"/>
      <c r="Y763" s="3079"/>
      <c r="Z763" s="3079"/>
      <c r="AA763" s="3079"/>
      <c r="AB763" s="3079"/>
      <c r="AC763" s="3079"/>
      <c r="AD763" s="3079"/>
      <c r="AE763" s="3079"/>
      <c r="AF763" s="3079"/>
      <c r="AG763" s="3079"/>
      <c r="AH763" s="3079"/>
      <c r="AI763" s="3079"/>
      <c r="AJ763" s="3079"/>
      <c r="AK763" s="3079"/>
      <c r="AL763" s="1316"/>
      <c r="AM763" s="1007"/>
      <c r="AN763" s="1002"/>
      <c r="AT763" s="1091"/>
      <c r="AU763" s="1091"/>
      <c r="AV763" s="1091"/>
    </row>
    <row r="764" spans="1:49" s="945" customFormat="1" ht="12.75" customHeight="1">
      <c r="A764" s="1028"/>
      <c r="B764" s="1307"/>
      <c r="C764" s="1307"/>
      <c r="D764" s="1307"/>
      <c r="E764" s="1307"/>
      <c r="F764" s="3081"/>
      <c r="G764" s="3082"/>
      <c r="H764" s="3082"/>
      <c r="I764" s="3082"/>
      <c r="J764" s="3082"/>
      <c r="K764" s="3082"/>
      <c r="L764" s="3082"/>
      <c r="M764" s="3082"/>
      <c r="N764" s="3082"/>
      <c r="O764" s="3082"/>
      <c r="P764" s="3082"/>
      <c r="Q764" s="3082"/>
      <c r="R764" s="3082"/>
      <c r="S764" s="3082"/>
      <c r="T764" s="3082"/>
      <c r="U764" s="3082"/>
      <c r="V764" s="3082"/>
      <c r="W764" s="3082"/>
      <c r="X764" s="3082"/>
      <c r="Y764" s="3082"/>
      <c r="Z764" s="3082"/>
      <c r="AA764" s="3082"/>
      <c r="AB764" s="3082"/>
      <c r="AC764" s="3082"/>
      <c r="AD764" s="3082"/>
      <c r="AE764" s="3082"/>
      <c r="AF764" s="3082"/>
      <c r="AG764" s="3082"/>
      <c r="AH764" s="3082"/>
      <c r="AI764" s="3082"/>
      <c r="AJ764" s="3082"/>
      <c r="AK764" s="308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4">
        <f>Application!AJ975</f>
        <v>70653440</v>
      </c>
      <c r="AQ765" s="2994"/>
      <c r="AR765" s="2994"/>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3">
        <f>'Sources and Uses Budget'!S107+'Sources and Uses Budget'!T107</f>
        <v>57435126</v>
      </c>
      <c r="AG766" s="3083"/>
      <c r="AH766" s="3083"/>
      <c r="AI766" s="3083"/>
      <c r="AJ766" s="3083"/>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4">
        <f>AP774</f>
        <v>104661328</v>
      </c>
      <c r="AG767" s="3084"/>
      <c r="AH767" s="3084"/>
      <c r="AI767" s="3084"/>
      <c r="AJ767" s="3084"/>
      <c r="AK767" s="1007"/>
      <c r="AL767" s="1007"/>
      <c r="AM767" s="1007"/>
      <c r="AN767" s="1002"/>
      <c r="AP767" s="2994">
        <f>Application!AJ1024</f>
        <v>7065344</v>
      </c>
      <c r="AQ767" s="2994"/>
      <c r="AR767" s="299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5">
        <f>ROUNDDOWN(IF(C759="YES",((1-(AF766/AF767))*2),(1-(AF766/AF767))),2)</f>
        <v>0.9</v>
      </c>
      <c r="AG768" s="3085"/>
      <c r="AH768" s="3085"/>
      <c r="AI768" s="3085"/>
      <c r="AJ768" s="3085"/>
      <c r="AK768" s="1007"/>
      <c r="AL768" s="1007"/>
      <c r="AM768" s="1007"/>
      <c r="AN768" s="1002"/>
      <c r="AP768" s="2995">
        <f>Application!AJ1028</f>
        <v>14130688</v>
      </c>
      <c r="AQ768" s="2995"/>
      <c r="AR768" s="299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0">
        <f>IF(((AP767+AP768)/AP765)&gt;0.8,0.8,((AP767+AP768)/AP765))</f>
        <v>0.3</v>
      </c>
      <c r="AQ769" s="3000"/>
      <c r="AR769" s="3000"/>
    </row>
    <row r="770" spans="1:44" s="945" customFormat="1" ht="12.75" customHeight="1">
      <c r="A770" s="1050"/>
      <c r="B770" s="3057" t="s">
        <v>1873</v>
      </c>
      <c r="C770" s="3058"/>
      <c r="D770" s="3058"/>
      <c r="E770" s="3058"/>
      <c r="F770" s="3058"/>
      <c r="G770" s="3058"/>
      <c r="H770" s="3058"/>
      <c r="I770" s="3058"/>
      <c r="J770" s="3058"/>
      <c r="K770" s="3058"/>
      <c r="L770" s="3058"/>
      <c r="M770" s="3058"/>
      <c r="N770" s="3058"/>
      <c r="O770" s="3058"/>
      <c r="P770" s="3058"/>
      <c r="Q770" s="3058"/>
      <c r="R770" s="3058"/>
      <c r="S770" s="3058"/>
      <c r="T770" s="3058"/>
      <c r="U770" s="3058"/>
      <c r="V770" s="3058"/>
      <c r="W770" s="3058"/>
      <c r="X770" s="3058"/>
      <c r="Y770" s="3058"/>
      <c r="Z770" s="3058"/>
      <c r="AA770" s="3058"/>
      <c r="AB770" s="3058"/>
      <c r="AC770" s="3058"/>
      <c r="AD770" s="3058"/>
      <c r="AE770" s="3058"/>
      <c r="AF770" s="3058"/>
      <c r="AG770" s="3058"/>
      <c r="AH770" s="3058"/>
      <c r="AI770" s="3058"/>
      <c r="AJ770" s="3059"/>
      <c r="AK770" s="1007"/>
      <c r="AL770" s="1007"/>
      <c r="AM770" s="1007"/>
      <c r="AN770" s="1002"/>
    </row>
    <row r="771" spans="1:44" s="945" customFormat="1" ht="12.75" customHeight="1">
      <c r="A771" s="1050"/>
      <c r="B771" s="3060"/>
      <c r="C771" s="3061"/>
      <c r="D771" s="3061"/>
      <c r="E771" s="3061"/>
      <c r="F771" s="3061"/>
      <c r="G771" s="3061"/>
      <c r="H771" s="3061"/>
      <c r="I771" s="3061"/>
      <c r="J771" s="3061"/>
      <c r="K771" s="3061"/>
      <c r="L771" s="3061"/>
      <c r="M771" s="3061"/>
      <c r="N771" s="3061"/>
      <c r="O771" s="3061"/>
      <c r="P771" s="3061"/>
      <c r="Q771" s="3061"/>
      <c r="R771" s="3061"/>
      <c r="S771" s="3061"/>
      <c r="T771" s="3061"/>
      <c r="U771" s="3061"/>
      <c r="V771" s="3061"/>
      <c r="W771" s="3061"/>
      <c r="X771" s="3061"/>
      <c r="Y771" s="3061"/>
      <c r="Z771" s="3061"/>
      <c r="AA771" s="3061"/>
      <c r="AB771" s="3061"/>
      <c r="AC771" s="3061"/>
      <c r="AD771" s="3061"/>
      <c r="AE771" s="3061"/>
      <c r="AF771" s="3061"/>
      <c r="AG771" s="3061"/>
      <c r="AH771" s="3061"/>
      <c r="AI771" s="3061"/>
      <c r="AJ771" s="3062"/>
      <c r="AK771" s="1007"/>
      <c r="AL771" s="1007"/>
      <c r="AM771" s="1007"/>
      <c r="AN771" s="1002"/>
      <c r="AP771" s="2994">
        <f>AP772-AP767-AP768</f>
        <v>83465296</v>
      </c>
      <c r="AQ771" s="3001"/>
      <c r="AR771" s="3001"/>
    </row>
    <row r="772" spans="1:44" s="945" customFormat="1" ht="12.75" customHeight="1">
      <c r="A772" s="1050"/>
      <c r="B772" s="3063"/>
      <c r="C772" s="3064"/>
      <c r="D772" s="3064"/>
      <c r="E772" s="3064"/>
      <c r="F772" s="3064"/>
      <c r="G772" s="3064"/>
      <c r="H772" s="3064"/>
      <c r="I772" s="3064"/>
      <c r="J772" s="3064"/>
      <c r="K772" s="3064"/>
      <c r="L772" s="3064"/>
      <c r="M772" s="3064"/>
      <c r="N772" s="3064"/>
      <c r="O772" s="3064"/>
      <c r="P772" s="3064"/>
      <c r="Q772" s="3064"/>
      <c r="R772" s="3064"/>
      <c r="S772" s="3064"/>
      <c r="T772" s="3064"/>
      <c r="U772" s="3064"/>
      <c r="V772" s="3064"/>
      <c r="W772" s="3064"/>
      <c r="X772" s="3064"/>
      <c r="Y772" s="3064"/>
      <c r="Z772" s="3064"/>
      <c r="AA772" s="3064"/>
      <c r="AB772" s="3064"/>
      <c r="AC772" s="3064"/>
      <c r="AD772" s="3064"/>
      <c r="AE772" s="3064"/>
      <c r="AF772" s="3064"/>
      <c r="AG772" s="3064"/>
      <c r="AH772" s="3064"/>
      <c r="AI772" s="3064"/>
      <c r="AJ772" s="3065"/>
      <c r="AK772" s="1007"/>
      <c r="AL772" s="1007"/>
      <c r="AM772" s="1007"/>
      <c r="AN772" s="1002"/>
      <c r="AP772" s="2994">
        <f>Application!AJ1032</f>
        <v>104661328</v>
      </c>
      <c r="AQ772" s="2994"/>
      <c r="AR772" s="299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066">
        <f>IF(AF768=0,0,IF((AF768*100)&gt;12,12,(AF768*100)))</f>
        <v>12</v>
      </c>
      <c r="AL774" s="3066"/>
      <c r="AM774" s="3067"/>
      <c r="AN774" s="1002"/>
      <c r="AP774" s="2983">
        <f>AP771+(AP765*AP769)</f>
        <v>104661328</v>
      </c>
      <c r="AQ774" s="2984"/>
      <c r="AR774" s="298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8" t="s">
        <v>1875</v>
      </c>
      <c r="B777" s="3069"/>
      <c r="C777" s="3069"/>
      <c r="D777" s="3069"/>
      <c r="E777" s="3069"/>
      <c r="F777" s="3069"/>
      <c r="G777" s="3069"/>
      <c r="H777" s="3069"/>
      <c r="I777" s="3069"/>
      <c r="J777" s="3069"/>
      <c r="K777" s="3069"/>
      <c r="L777" s="3069"/>
      <c r="M777" s="3069"/>
      <c r="N777" s="3069"/>
      <c r="O777" s="3069"/>
      <c r="P777" s="3069"/>
      <c r="Q777" s="3069"/>
      <c r="R777" s="3069"/>
      <c r="S777" s="3069"/>
      <c r="T777" s="3069"/>
      <c r="U777" s="3069"/>
      <c r="V777" s="3069"/>
      <c r="W777" s="3069"/>
      <c r="X777" s="3069"/>
      <c r="Y777" s="3069"/>
      <c r="Z777" s="3069"/>
      <c r="AA777" s="3069"/>
      <c r="AB777" s="3069"/>
      <c r="AC777" s="3069"/>
      <c r="AD777" s="3069"/>
      <c r="AE777" s="3069"/>
      <c r="AF777" s="3069"/>
      <c r="AG777" s="3069"/>
      <c r="AH777" s="3069"/>
      <c r="AI777" s="3069"/>
      <c r="AJ777" s="3069"/>
      <c r="AK777" s="3069"/>
      <c r="AL777" s="3069"/>
      <c r="AM777" s="3069"/>
    </row>
    <row r="778" spans="1:44">
      <c r="A778" s="3070"/>
      <c r="B778" s="3070"/>
      <c r="C778" s="3070"/>
      <c r="D778" s="3070"/>
      <c r="E778" s="3070"/>
      <c r="F778" s="3070"/>
      <c r="G778" s="3070"/>
      <c r="H778" s="3070"/>
      <c r="I778" s="3070"/>
      <c r="J778" s="3070"/>
      <c r="K778" s="3070"/>
      <c r="L778" s="3070"/>
      <c r="M778" s="3070"/>
      <c r="N778" s="3070"/>
      <c r="O778" s="3070"/>
      <c r="P778" s="3070"/>
      <c r="Q778" s="3070"/>
      <c r="R778" s="3070"/>
      <c r="S778" s="3070"/>
      <c r="T778" s="3070"/>
      <c r="U778" s="3070"/>
      <c r="V778" s="3070"/>
      <c r="W778" s="3070"/>
      <c r="X778" s="3070"/>
      <c r="Y778" s="3070"/>
      <c r="Z778" s="3070"/>
      <c r="AA778" s="3070"/>
      <c r="AB778" s="3070"/>
      <c r="AC778" s="3070"/>
      <c r="AD778" s="3070"/>
      <c r="AE778" s="3070"/>
      <c r="AF778" s="3070"/>
      <c r="AG778" s="3070"/>
      <c r="AH778" s="3070"/>
      <c r="AI778" s="3070"/>
      <c r="AJ778" s="3070"/>
      <c r="AK778" s="3070"/>
      <c r="AL778" s="3070"/>
      <c r="AM778" s="307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1"/>
      <c r="B780" s="3071"/>
      <c r="C780" s="3071"/>
      <c r="D780" s="3071"/>
      <c r="E780" s="3071"/>
      <c r="F780" s="3071"/>
      <c r="G780" s="3071"/>
      <c r="H780" s="3071"/>
      <c r="I780" s="3071"/>
      <c r="J780" s="3071"/>
      <c r="K780" s="3071"/>
      <c r="L780" s="3071"/>
      <c r="M780" s="3071"/>
      <c r="N780" s="3071"/>
      <c r="O780" s="3071"/>
      <c r="P780" s="3071"/>
      <c r="Q780" s="3071"/>
      <c r="R780" s="3071"/>
      <c r="S780" s="3071"/>
      <c r="T780" s="3071"/>
      <c r="U780" s="3071"/>
      <c r="V780" s="3071"/>
      <c r="W780" s="3071"/>
      <c r="X780" s="3071"/>
      <c r="Y780" s="3071"/>
      <c r="Z780" s="3071"/>
      <c r="AA780" s="3071"/>
      <c r="AB780" s="3071"/>
      <c r="AC780" s="3071"/>
      <c r="AD780" s="3071"/>
      <c r="AE780" s="3071"/>
      <c r="AF780" s="3071"/>
      <c r="AG780" s="3071"/>
      <c r="AH780" s="3071"/>
      <c r="AI780" s="3071"/>
      <c r="AJ780" s="3071"/>
      <c r="AK780" s="3071"/>
      <c r="AL780" s="3071"/>
      <c r="AM780" s="3071"/>
      <c r="AO780" s="1229"/>
      <c r="AP780" s="1322"/>
      <c r="AQ780" s="1321"/>
    </row>
    <row r="781" spans="1:44">
      <c r="A781" s="3071"/>
      <c r="B781" s="3071"/>
      <c r="C781" s="3071"/>
      <c r="D781" s="3071"/>
      <c r="E781" s="3071"/>
      <c r="F781" s="3071"/>
      <c r="G781" s="3071"/>
      <c r="H781" s="3071"/>
      <c r="I781" s="3071"/>
      <c r="J781" s="3071"/>
      <c r="K781" s="3071"/>
      <c r="L781" s="3071"/>
      <c r="M781" s="3071"/>
      <c r="N781" s="3071"/>
      <c r="O781" s="3071"/>
      <c r="P781" s="3071"/>
      <c r="Q781" s="3071"/>
      <c r="R781" s="3071"/>
      <c r="S781" s="3071"/>
      <c r="T781" s="3071"/>
      <c r="U781" s="3071"/>
      <c r="V781" s="3071"/>
      <c r="W781" s="3071"/>
      <c r="X781" s="3071"/>
      <c r="Y781" s="3071"/>
      <c r="Z781" s="3071"/>
      <c r="AA781" s="3071"/>
      <c r="AB781" s="3071"/>
      <c r="AC781" s="3071"/>
      <c r="AD781" s="3071"/>
      <c r="AE781" s="3071"/>
      <c r="AF781" s="3071"/>
      <c r="AG781" s="3071"/>
      <c r="AH781" s="3071"/>
      <c r="AI781" s="3071"/>
      <c r="AJ781" s="3071"/>
      <c r="AK781" s="3071"/>
      <c r="AL781" s="3071"/>
      <c r="AM781" s="3071"/>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2" t="s">
        <v>1876</v>
      </c>
      <c r="U782" s="3073"/>
      <c r="V782" s="3073"/>
      <c r="W782" s="3073"/>
      <c r="X782" s="3073"/>
      <c r="Y782" s="3074"/>
      <c r="Z782" s="3072" t="s">
        <v>1877</v>
      </c>
      <c r="AA782" s="3073"/>
      <c r="AB782" s="3073"/>
      <c r="AC782" s="3073"/>
      <c r="AD782" s="3073"/>
      <c r="AE782" s="3074"/>
      <c r="AF782" s="3072" t="s">
        <v>1878</v>
      </c>
      <c r="AG782" s="3073"/>
      <c r="AH782" s="3073"/>
      <c r="AI782" s="3073"/>
      <c r="AJ782" s="3073"/>
      <c r="AK782" s="3074"/>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5"/>
      <c r="U783" s="3076"/>
      <c r="V783" s="3076"/>
      <c r="W783" s="3076"/>
      <c r="X783" s="3076"/>
      <c r="Y783" s="3077"/>
      <c r="Z783" s="3075"/>
      <c r="AA783" s="3076"/>
      <c r="AB783" s="3076"/>
      <c r="AC783" s="3076"/>
      <c r="AD783" s="3076"/>
      <c r="AE783" s="3077"/>
      <c r="AF783" s="3075"/>
      <c r="AG783" s="3076"/>
      <c r="AH783" s="3076"/>
      <c r="AI783" s="3076"/>
      <c r="AJ783" s="3076"/>
      <c r="AK783" s="3077"/>
      <c r="AL783" s="1324"/>
      <c r="AM783" s="1218"/>
      <c r="AO783" s="1322"/>
      <c r="AP783" s="1321"/>
      <c r="AQ783" s="1321"/>
    </row>
    <row r="784" spans="1:44">
      <c r="A784" s="1325" t="s">
        <v>801</v>
      </c>
      <c r="B784" s="3024" t="s">
        <v>1575</v>
      </c>
      <c r="C784" s="3024"/>
      <c r="D784" s="3024"/>
      <c r="E784" s="3024"/>
      <c r="F784" s="3024"/>
      <c r="G784" s="3024"/>
      <c r="H784" s="3024"/>
      <c r="I784" s="3024"/>
      <c r="J784" s="3024"/>
      <c r="K784" s="3024"/>
      <c r="L784" s="3024"/>
      <c r="M784" s="3024"/>
      <c r="N784" s="3024"/>
      <c r="O784" s="3024"/>
      <c r="P784" s="3024"/>
      <c r="Q784" s="3024"/>
      <c r="R784" s="3024"/>
      <c r="S784" s="3025"/>
      <c r="T784" s="3056">
        <f>AK51</f>
        <v>0</v>
      </c>
      <c r="U784" s="3028"/>
      <c r="V784" s="3028"/>
      <c r="W784" s="3028"/>
      <c r="X784" s="3028"/>
      <c r="Y784" s="3029"/>
      <c r="Z784" s="3027">
        <v>20</v>
      </c>
      <c r="AA784" s="3028"/>
      <c r="AB784" s="3028"/>
      <c r="AC784" s="3028"/>
      <c r="AD784" s="3028"/>
      <c r="AE784" s="3029"/>
      <c r="AF784" s="3030">
        <f>IF(T784&gt;Z784,Z784,T784)</f>
        <v>0</v>
      </c>
      <c r="AG784" s="3030"/>
      <c r="AH784" s="3030"/>
      <c r="AI784" s="3030"/>
      <c r="AJ784" s="3030"/>
      <c r="AK784" s="3030"/>
      <c r="AL784" s="1324"/>
      <c r="AM784" s="1218"/>
      <c r="AO784" s="1321"/>
      <c r="AP784" s="1321"/>
      <c r="AQ784" s="1321"/>
    </row>
    <row r="785" spans="1:81">
      <c r="A785" s="1325" t="s">
        <v>1844</v>
      </c>
      <c r="B785" s="3024" t="s">
        <v>1597</v>
      </c>
      <c r="C785" s="3024"/>
      <c r="D785" s="3024"/>
      <c r="E785" s="3024"/>
      <c r="F785" s="3024"/>
      <c r="G785" s="3024"/>
      <c r="H785" s="3024"/>
      <c r="I785" s="3024"/>
      <c r="J785" s="3024"/>
      <c r="K785" s="3024"/>
      <c r="L785" s="3024"/>
      <c r="M785" s="3024"/>
      <c r="N785" s="3024"/>
      <c r="O785" s="3024"/>
      <c r="P785" s="3024"/>
      <c r="Q785" s="3024"/>
      <c r="R785" s="3024"/>
      <c r="S785" s="3025"/>
      <c r="T785" s="3056">
        <f>AK72</f>
        <v>10</v>
      </c>
      <c r="U785" s="3028"/>
      <c r="V785" s="3028"/>
      <c r="W785" s="3028"/>
      <c r="X785" s="3028"/>
      <c r="Y785" s="3029"/>
      <c r="Z785" s="3027">
        <v>10</v>
      </c>
      <c r="AA785" s="3028"/>
      <c r="AB785" s="3028"/>
      <c r="AC785" s="3028"/>
      <c r="AD785" s="3028"/>
      <c r="AE785" s="3029"/>
      <c r="AF785" s="3030">
        <f>IF(T785&gt;Z785,Z785,T785)</f>
        <v>10</v>
      </c>
      <c r="AG785" s="3030"/>
      <c r="AH785" s="3030"/>
      <c r="AI785" s="3030"/>
      <c r="AJ785" s="3030"/>
      <c r="AK785" s="3030"/>
      <c r="AL785" s="1324"/>
      <c r="AM785" s="1218"/>
      <c r="AO785" s="1321"/>
      <c r="AP785" s="1321"/>
      <c r="AQ785" s="1321"/>
    </row>
    <row r="786" spans="1:81">
      <c r="A786" s="1325" t="s">
        <v>1853</v>
      </c>
      <c r="B786" s="3024" t="s">
        <v>1607</v>
      </c>
      <c r="C786" s="3024"/>
      <c r="D786" s="3024"/>
      <c r="E786" s="3024"/>
      <c r="F786" s="3024"/>
      <c r="G786" s="3024"/>
      <c r="H786" s="3024"/>
      <c r="I786" s="3024"/>
      <c r="J786" s="3024"/>
      <c r="K786" s="3024"/>
      <c r="L786" s="3024"/>
      <c r="M786" s="3024"/>
      <c r="N786" s="3024"/>
      <c r="O786" s="3024"/>
      <c r="P786" s="3024"/>
      <c r="Q786" s="3024"/>
      <c r="R786" s="3024"/>
      <c r="S786" s="3025"/>
      <c r="T786" s="3056">
        <f ca="1">AK97</f>
        <v>20</v>
      </c>
      <c r="U786" s="3028"/>
      <c r="V786" s="3028"/>
      <c r="W786" s="3028"/>
      <c r="X786" s="3028"/>
      <c r="Y786" s="3029"/>
      <c r="Z786" s="3027">
        <v>20</v>
      </c>
      <c r="AA786" s="3028"/>
      <c r="AB786" s="3028"/>
      <c r="AC786" s="3028"/>
      <c r="AD786" s="3028"/>
      <c r="AE786" s="3029"/>
      <c r="AF786" s="3030">
        <f ca="1">IF(T786&gt;Z786,Z786,T786)</f>
        <v>20</v>
      </c>
      <c r="AG786" s="3030"/>
      <c r="AH786" s="3030"/>
      <c r="AI786" s="3030"/>
      <c r="AJ786" s="3030"/>
      <c r="AK786" s="3030"/>
      <c r="AL786" s="1324"/>
      <c r="AM786" s="1218"/>
      <c r="AO786" s="1321"/>
      <c r="AP786" s="1321"/>
      <c r="AQ786" s="1321"/>
    </row>
    <row r="787" spans="1:81">
      <c r="A787" s="1325" t="s">
        <v>1879</v>
      </c>
      <c r="B787" s="3024" t="s">
        <v>1617</v>
      </c>
      <c r="C787" s="3024"/>
      <c r="D787" s="3024"/>
      <c r="E787" s="3024"/>
      <c r="F787" s="3024"/>
      <c r="G787" s="3024"/>
      <c r="H787" s="3024"/>
      <c r="I787" s="3024"/>
      <c r="J787" s="3024"/>
      <c r="K787" s="3024"/>
      <c r="L787" s="3024"/>
      <c r="M787" s="3024"/>
      <c r="N787" s="3024"/>
      <c r="O787" s="3024"/>
      <c r="P787" s="3024"/>
      <c r="Q787" s="3024"/>
      <c r="R787" s="3024"/>
      <c r="S787" s="3025"/>
      <c r="T787" s="3056">
        <f>AK131</f>
        <v>10</v>
      </c>
      <c r="U787" s="3028"/>
      <c r="V787" s="3028"/>
      <c r="W787" s="3028"/>
      <c r="X787" s="3028"/>
      <c r="Y787" s="3029"/>
      <c r="Z787" s="3027">
        <v>10</v>
      </c>
      <c r="AA787" s="3028"/>
      <c r="AB787" s="3028"/>
      <c r="AC787" s="3028"/>
      <c r="AD787" s="3028"/>
      <c r="AE787" s="3029"/>
      <c r="AF787" s="3030">
        <f>IF(T787&gt;Z787,Z787,T787)</f>
        <v>10</v>
      </c>
      <c r="AG787" s="3030"/>
      <c r="AH787" s="3030"/>
      <c r="AI787" s="3030"/>
      <c r="AJ787" s="3030"/>
      <c r="AK787" s="3030"/>
      <c r="AL787" s="1324"/>
      <c r="AM787" s="1218"/>
      <c r="AO787" s="1321"/>
      <c r="AP787" s="1321"/>
      <c r="AQ787" s="1321"/>
    </row>
    <row r="788" spans="1:81">
      <c r="A788" s="1327" t="s">
        <v>1880</v>
      </c>
      <c r="B788" s="3024" t="s">
        <v>1881</v>
      </c>
      <c r="C788" s="3024"/>
      <c r="D788" s="3024"/>
      <c r="E788" s="3024"/>
      <c r="F788" s="3024"/>
      <c r="G788" s="3024"/>
      <c r="H788" s="3024"/>
      <c r="I788" s="3024"/>
      <c r="J788" s="3024"/>
      <c r="K788" s="3024"/>
      <c r="L788" s="3024"/>
      <c r="M788" s="3024"/>
      <c r="N788" s="3024"/>
      <c r="O788" s="3024"/>
      <c r="P788" s="3024"/>
      <c r="Q788" s="3024"/>
      <c r="R788" s="3024"/>
      <c r="S788" s="3025"/>
      <c r="T788" s="3026">
        <f>SUM(T789:Y790)</f>
        <v>10</v>
      </c>
      <c r="U788" s="3026"/>
      <c r="V788" s="3026"/>
      <c r="W788" s="3026"/>
      <c r="X788" s="3026"/>
      <c r="Y788" s="3026"/>
      <c r="Z788" s="3030">
        <v>10</v>
      </c>
      <c r="AA788" s="3030"/>
      <c r="AB788" s="3030"/>
      <c r="AC788" s="3030"/>
      <c r="AD788" s="3030"/>
      <c r="AE788" s="3030"/>
      <c r="AF788" s="3030">
        <f>IF(T788&gt;Z788,Z788,T788)</f>
        <v>10</v>
      </c>
      <c r="AG788" s="3030"/>
      <c r="AH788" s="3030"/>
      <c r="AI788" s="3030"/>
      <c r="AJ788" s="3030"/>
      <c r="AK788" s="3030"/>
      <c r="AL788" s="1324"/>
      <c r="AM788" s="1218"/>
    </row>
    <row r="789" spans="1:81">
      <c r="A789" s="928"/>
      <c r="B789" s="1011"/>
      <c r="C789" s="3031" t="s">
        <v>1882</v>
      </c>
      <c r="D789" s="3031"/>
      <c r="E789" s="3031"/>
      <c r="F789" s="3031"/>
      <c r="G789" s="3031"/>
      <c r="H789" s="3031"/>
      <c r="I789" s="3031"/>
      <c r="J789" s="3031"/>
      <c r="K789" s="3031"/>
      <c r="L789" s="3031"/>
      <c r="M789" s="3031"/>
      <c r="N789" s="3031"/>
      <c r="O789" s="3031"/>
      <c r="P789" s="3031"/>
      <c r="Q789" s="3031"/>
      <c r="R789" s="3031"/>
      <c r="S789" s="3032"/>
      <c r="T789" s="3033">
        <f>AJ149</f>
        <v>7</v>
      </c>
      <c r="U789" s="3033"/>
      <c r="V789" s="3033"/>
      <c r="W789" s="3033"/>
      <c r="X789" s="3033"/>
      <c r="Y789" s="3033"/>
      <c r="Z789" s="3034">
        <v>7</v>
      </c>
      <c r="AA789" s="3034"/>
      <c r="AB789" s="3034"/>
      <c r="AC789" s="3034"/>
      <c r="AD789" s="3034"/>
      <c r="AE789" s="3034"/>
      <c r="AF789" s="3035"/>
      <c r="AG789" s="3035"/>
      <c r="AH789" s="3035"/>
      <c r="AI789" s="3035"/>
      <c r="AJ789" s="3035"/>
      <c r="AK789" s="3035"/>
      <c r="AL789" s="1324"/>
      <c r="AM789" s="1218"/>
    </row>
    <row r="790" spans="1:81">
      <c r="A790" s="1328"/>
      <c r="B790" s="1011"/>
      <c r="C790" s="3031" t="s">
        <v>1883</v>
      </c>
      <c r="D790" s="3031"/>
      <c r="E790" s="3031"/>
      <c r="F790" s="3031"/>
      <c r="G790" s="3031"/>
      <c r="H790" s="3031"/>
      <c r="I790" s="3031"/>
      <c r="J790" s="3031"/>
      <c r="K790" s="3031"/>
      <c r="L790" s="3031"/>
      <c r="M790" s="3031"/>
      <c r="N790" s="3031"/>
      <c r="O790" s="3031"/>
      <c r="P790" s="3031"/>
      <c r="Q790" s="3031"/>
      <c r="R790" s="3031"/>
      <c r="S790" s="3032"/>
      <c r="T790" s="3033">
        <f>AJ163</f>
        <v>3</v>
      </c>
      <c r="U790" s="3033"/>
      <c r="V790" s="3033"/>
      <c r="W790" s="3033"/>
      <c r="X790" s="3033"/>
      <c r="Y790" s="3033"/>
      <c r="Z790" s="3034">
        <v>3</v>
      </c>
      <c r="AA790" s="3034"/>
      <c r="AB790" s="3034"/>
      <c r="AC790" s="3034"/>
      <c r="AD790" s="3034"/>
      <c r="AE790" s="3034"/>
      <c r="AF790" s="3035"/>
      <c r="AG790" s="3035"/>
      <c r="AH790" s="3035"/>
      <c r="AI790" s="3035"/>
      <c r="AJ790" s="3035"/>
      <c r="AK790" s="3035"/>
      <c r="AL790" s="1324"/>
      <c r="AM790" s="1218"/>
      <c r="AO790" s="945"/>
    </row>
    <row r="791" spans="1:81">
      <c r="A791" s="1327" t="s">
        <v>1645</v>
      </c>
      <c r="B791" s="3024" t="s">
        <v>1884</v>
      </c>
      <c r="C791" s="3024"/>
      <c r="D791" s="3024"/>
      <c r="E791" s="3024"/>
      <c r="F791" s="3024"/>
      <c r="G791" s="3024"/>
      <c r="H791" s="3024"/>
      <c r="I791" s="3024"/>
      <c r="J791" s="3024"/>
      <c r="K791" s="3024"/>
      <c r="L791" s="3024"/>
      <c r="M791" s="3024"/>
      <c r="N791" s="3024"/>
      <c r="O791" s="3024"/>
      <c r="P791" s="3024"/>
      <c r="Q791" s="3024"/>
      <c r="R791" s="3024"/>
      <c r="S791" s="3025"/>
      <c r="T791" s="3026">
        <f>AK174</f>
        <v>10</v>
      </c>
      <c r="U791" s="3026"/>
      <c r="V791" s="3026"/>
      <c r="W791" s="3026"/>
      <c r="X791" s="3026"/>
      <c r="Y791" s="3026"/>
      <c r="Z791" s="3030">
        <v>10</v>
      </c>
      <c r="AA791" s="3030"/>
      <c r="AB791" s="3030"/>
      <c r="AC791" s="3030"/>
      <c r="AD791" s="3030"/>
      <c r="AE791" s="3030"/>
      <c r="AF791" s="3030">
        <f>IF(T791&gt;Z791,Z791,T791)</f>
        <v>10</v>
      </c>
      <c r="AG791" s="3030"/>
      <c r="AH791" s="3030"/>
      <c r="AI791" s="3030"/>
      <c r="AJ791" s="3030"/>
      <c r="AK791" s="3030"/>
      <c r="AL791" s="1324"/>
      <c r="AM791" s="1218"/>
    </row>
    <row r="792" spans="1:81">
      <c r="A792" s="1325" t="s">
        <v>1654</v>
      </c>
      <c r="B792" s="3024" t="s">
        <v>1655</v>
      </c>
      <c r="C792" s="3024"/>
      <c r="D792" s="3024"/>
      <c r="E792" s="3024"/>
      <c r="F792" s="3024"/>
      <c r="G792" s="3024"/>
      <c r="H792" s="3024"/>
      <c r="I792" s="3024"/>
      <c r="J792" s="3024"/>
      <c r="K792" s="3024"/>
      <c r="L792" s="3024"/>
      <c r="M792" s="3024"/>
      <c r="N792" s="3024"/>
      <c r="O792" s="3024"/>
      <c r="P792" s="3024"/>
      <c r="Q792" s="3024"/>
      <c r="R792" s="3024"/>
      <c r="S792" s="3025"/>
      <c r="T792" s="3026">
        <f>AK256</f>
        <v>8</v>
      </c>
      <c r="U792" s="3026"/>
      <c r="V792" s="3026"/>
      <c r="W792" s="3026"/>
      <c r="X792" s="3026"/>
      <c r="Y792" s="3026"/>
      <c r="Z792" s="3027">
        <v>8</v>
      </c>
      <c r="AA792" s="3028"/>
      <c r="AB792" s="3028"/>
      <c r="AC792" s="3028"/>
      <c r="AD792" s="3028"/>
      <c r="AE792" s="3029"/>
      <c r="AF792" s="3030">
        <f>IF(T792&gt;Z792,Z792,T792)</f>
        <v>8</v>
      </c>
      <c r="AG792" s="3030"/>
      <c r="AH792" s="3030"/>
      <c r="AI792" s="3030"/>
      <c r="AJ792" s="3030"/>
      <c r="AK792" s="3030"/>
      <c r="AL792" s="1324"/>
      <c r="AM792" s="1218"/>
    </row>
    <row r="793" spans="1:81" s="927" customFormat="1" hidden="1">
      <c r="A793" s="1327" t="s">
        <v>625</v>
      </c>
      <c r="B793" s="3024" t="s">
        <v>1885</v>
      </c>
      <c r="C793" s="3024"/>
      <c r="D793" s="3024"/>
      <c r="E793" s="3024"/>
      <c r="F793" s="3024"/>
      <c r="G793" s="3024"/>
      <c r="H793" s="3024"/>
      <c r="I793" s="3024"/>
      <c r="J793" s="3024"/>
      <c r="K793" s="3024"/>
      <c r="L793" s="3024"/>
      <c r="M793" s="3024"/>
      <c r="N793" s="3024"/>
      <c r="O793" s="3024"/>
      <c r="P793" s="3024"/>
      <c r="Q793" s="3024"/>
      <c r="R793" s="3024"/>
      <c r="S793" s="3025"/>
      <c r="T793" s="3026">
        <f>IF(AK750&gt;5,5,AK750)</f>
        <v>0</v>
      </c>
      <c r="U793" s="3026"/>
      <c r="V793" s="3026"/>
      <c r="W793" s="3026"/>
      <c r="X793" s="3026"/>
      <c r="Y793" s="3026"/>
      <c r="Z793" s="3030">
        <v>5</v>
      </c>
      <c r="AA793" s="3030"/>
      <c r="AB793" s="3030"/>
      <c r="AC793" s="3030"/>
      <c r="AD793" s="3030"/>
      <c r="AE793" s="3030"/>
      <c r="AF793" s="3030">
        <f>IF(T793&gt;Z793,5,T793)</f>
        <v>0</v>
      </c>
      <c r="AG793" s="3030"/>
      <c r="AH793" s="3030"/>
      <c r="AI793" s="3030"/>
      <c r="AJ793" s="3030"/>
      <c r="AK793" s="303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024" t="s">
        <v>1886</v>
      </c>
      <c r="C794" s="3024"/>
      <c r="D794" s="3024"/>
      <c r="E794" s="3024"/>
      <c r="F794" s="3024"/>
      <c r="G794" s="3024"/>
      <c r="H794" s="3024"/>
      <c r="I794" s="3024"/>
      <c r="J794" s="3024"/>
      <c r="K794" s="3024"/>
      <c r="L794" s="3024"/>
      <c r="M794" s="3024"/>
      <c r="N794" s="3024"/>
      <c r="O794" s="3024"/>
      <c r="P794" s="3024"/>
      <c r="Q794" s="3024"/>
      <c r="R794" s="3024"/>
      <c r="S794" s="3025"/>
      <c r="T794" s="3026">
        <f>AK267</f>
        <v>10</v>
      </c>
      <c r="U794" s="3026"/>
      <c r="V794" s="3026"/>
      <c r="W794" s="3026"/>
      <c r="X794" s="3026"/>
      <c r="Y794" s="3026"/>
      <c r="Z794" s="3030">
        <v>10</v>
      </c>
      <c r="AA794" s="3030"/>
      <c r="AB794" s="3030"/>
      <c r="AC794" s="3030"/>
      <c r="AD794" s="3030"/>
      <c r="AE794" s="3030"/>
      <c r="AF794" s="3037">
        <f>IF(T794&gt;Z794,Z794,T794)</f>
        <v>10</v>
      </c>
      <c r="AG794" s="3038"/>
      <c r="AH794" s="3038"/>
      <c r="AI794" s="3038"/>
      <c r="AJ794" s="3038"/>
      <c r="AK794" s="303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024" t="s">
        <v>1665</v>
      </c>
      <c r="C795" s="3024"/>
      <c r="D795" s="3024"/>
      <c r="E795" s="3024"/>
      <c r="F795" s="3024"/>
      <c r="G795" s="3024"/>
      <c r="H795" s="3024"/>
      <c r="I795" s="3024"/>
      <c r="J795" s="3024"/>
      <c r="K795" s="3024"/>
      <c r="L795" s="3024"/>
      <c r="M795" s="3024"/>
      <c r="N795" s="3024"/>
      <c r="O795" s="3024"/>
      <c r="P795" s="3024"/>
      <c r="Q795" s="3024"/>
      <c r="R795" s="3024"/>
      <c r="S795" s="3025"/>
      <c r="T795" s="3026">
        <f>AK553</f>
        <v>20</v>
      </c>
      <c r="U795" s="3026"/>
      <c r="V795" s="3026"/>
      <c r="W795" s="3026"/>
      <c r="X795" s="3026"/>
      <c r="Y795" s="3026"/>
      <c r="Z795" s="3037">
        <v>20</v>
      </c>
      <c r="AA795" s="3038"/>
      <c r="AB795" s="3038"/>
      <c r="AC795" s="3038"/>
      <c r="AD795" s="3038"/>
      <c r="AE795" s="3039"/>
      <c r="AF795" s="3037">
        <f>IF(T795&gt;Z795,Z795,T795)</f>
        <v>20</v>
      </c>
      <c r="AG795" s="3040"/>
      <c r="AH795" s="3040"/>
      <c r="AI795" s="3040"/>
      <c r="AJ795" s="3040"/>
      <c r="AK795" s="304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33">
        <f>AK320</f>
        <v>20</v>
      </c>
      <c r="U796" s="3033"/>
      <c r="V796" s="3033"/>
      <c r="W796" s="3033"/>
      <c r="X796" s="3033"/>
      <c r="Y796" s="3033"/>
      <c r="Z796" s="3014">
        <v>20</v>
      </c>
      <c r="AA796" s="3036"/>
      <c r="AB796" s="3036"/>
      <c r="AC796" s="3036"/>
      <c r="AD796" s="3036"/>
      <c r="AE796" s="3015"/>
      <c r="AF796" s="3035"/>
      <c r="AG796" s="3035"/>
      <c r="AH796" s="3035"/>
      <c r="AI796" s="3035"/>
      <c r="AJ796" s="3035"/>
      <c r="AK796" s="303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33">
        <f>AK551</f>
        <v>0</v>
      </c>
      <c r="U797" s="3033"/>
      <c r="V797" s="3033"/>
      <c r="W797" s="3033"/>
      <c r="X797" s="3033"/>
      <c r="Y797" s="3033"/>
      <c r="Z797" s="3014">
        <v>10</v>
      </c>
      <c r="AA797" s="3036"/>
      <c r="AB797" s="3036"/>
      <c r="AC797" s="3036"/>
      <c r="AD797" s="3036"/>
      <c r="AE797" s="3015"/>
      <c r="AF797" s="3035"/>
      <c r="AG797" s="3035"/>
      <c r="AH797" s="3035"/>
      <c r="AI797" s="3035"/>
      <c r="AJ797" s="3035"/>
      <c r="AK797" s="303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024" t="s">
        <v>911</v>
      </c>
      <c r="C798" s="3024"/>
      <c r="D798" s="3024"/>
      <c r="E798" s="3024"/>
      <c r="F798" s="3024"/>
      <c r="G798" s="3024"/>
      <c r="H798" s="3024"/>
      <c r="I798" s="3024"/>
      <c r="J798" s="3024"/>
      <c r="K798" s="3024"/>
      <c r="L798" s="3024"/>
      <c r="M798" s="3024"/>
      <c r="N798" s="3024"/>
      <c r="O798" s="3024"/>
      <c r="P798" s="3024"/>
      <c r="Q798" s="3024"/>
      <c r="R798" s="3024"/>
      <c r="S798" s="3025"/>
      <c r="T798" s="3026">
        <f>AK684</f>
        <v>10</v>
      </c>
      <c r="U798" s="3026"/>
      <c r="V798" s="3026"/>
      <c r="W798" s="3026"/>
      <c r="X798" s="3026"/>
      <c r="Y798" s="3026"/>
      <c r="Z798" s="3037">
        <v>10</v>
      </c>
      <c r="AA798" s="3038"/>
      <c r="AB798" s="3038"/>
      <c r="AC798" s="3038"/>
      <c r="AD798" s="3038"/>
      <c r="AE798" s="3039"/>
      <c r="AF798" s="3030">
        <f>IF(T798&gt;Z798,Z798,T798)</f>
        <v>10</v>
      </c>
      <c r="AG798" s="3030"/>
      <c r="AH798" s="3030"/>
      <c r="AI798" s="3030"/>
      <c r="AJ798" s="3030"/>
      <c r="AK798" s="303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024" t="s">
        <v>1864</v>
      </c>
      <c r="C799" s="3024"/>
      <c r="D799" s="3024"/>
      <c r="E799" s="3024"/>
      <c r="F799" s="3024"/>
      <c r="G799" s="3024"/>
      <c r="H799" s="3024"/>
      <c r="I799" s="3024"/>
      <c r="J799" s="3024"/>
      <c r="K799" s="3024"/>
      <c r="L799" s="3024"/>
      <c r="M799" s="3024"/>
      <c r="N799" s="3024"/>
      <c r="O799" s="3024"/>
      <c r="P799" s="3024"/>
      <c r="Q799" s="3024"/>
      <c r="R799" s="3024"/>
      <c r="S799" s="3025"/>
      <c r="T799" s="3026">
        <f>AK774</f>
        <v>12</v>
      </c>
      <c r="U799" s="3026"/>
      <c r="V799" s="3026"/>
      <c r="W799" s="3026"/>
      <c r="X799" s="3026"/>
      <c r="Y799" s="3026"/>
      <c r="Z799" s="3037">
        <v>12</v>
      </c>
      <c r="AA799" s="3038"/>
      <c r="AB799" s="3038"/>
      <c r="AC799" s="3038"/>
      <c r="AD799" s="3038"/>
      <c r="AE799" s="3039"/>
      <c r="AF799" s="3030">
        <f>IF(T799&gt;Z799,Z799,T799)</f>
        <v>12</v>
      </c>
      <c r="AG799" s="3030"/>
      <c r="AH799" s="3030"/>
      <c r="AI799" s="3030"/>
      <c r="AJ799" s="3030"/>
      <c r="AK799" s="303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2" t="s">
        <v>1889</v>
      </c>
      <c r="B800" s="3024"/>
      <c r="C800" s="3024"/>
      <c r="D800" s="3024"/>
      <c r="E800" s="3024"/>
      <c r="F800" s="3024"/>
      <c r="G800" s="3024"/>
      <c r="H800" s="3024"/>
      <c r="I800" s="3024"/>
      <c r="J800" s="3024"/>
      <c r="K800" s="3024"/>
      <c r="L800" s="3024"/>
      <c r="M800" s="3024"/>
      <c r="N800" s="3024"/>
      <c r="O800" s="3024"/>
      <c r="P800" s="3024"/>
      <c r="Q800" s="3024"/>
      <c r="R800" s="3024"/>
      <c r="S800" s="3025"/>
      <c r="T800" s="3043"/>
      <c r="U800" s="3043"/>
      <c r="V800" s="3043"/>
      <c r="W800" s="3043"/>
      <c r="X800" s="3043"/>
      <c r="Y800" s="3043"/>
      <c r="Z800" s="3034" t="s">
        <v>1890</v>
      </c>
      <c r="AA800" s="3034"/>
      <c r="AB800" s="3034"/>
      <c r="AC800" s="3034"/>
      <c r="AD800" s="3034"/>
      <c r="AE800" s="3034"/>
      <c r="AF800" s="3037">
        <f>IF(T800&gt;0,T800,0)</f>
        <v>0</v>
      </c>
      <c r="AG800" s="3038"/>
      <c r="AH800" s="3038"/>
      <c r="AI800" s="3038"/>
      <c r="AJ800" s="3038"/>
      <c r="AK800" s="303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044" t="s">
        <v>1891</v>
      </c>
      <c r="B801" s="3045"/>
      <c r="C801" s="3045"/>
      <c r="D801" s="3045"/>
      <c r="E801" s="3045"/>
      <c r="F801" s="3045"/>
      <c r="G801" s="3045"/>
      <c r="H801" s="3045"/>
      <c r="I801" s="3045"/>
      <c r="J801" s="3045"/>
      <c r="K801" s="3045"/>
      <c r="L801" s="3045"/>
      <c r="M801" s="3045"/>
      <c r="N801" s="3045"/>
      <c r="O801" s="3045"/>
      <c r="P801" s="3045"/>
      <c r="Q801" s="3045"/>
      <c r="R801" s="3045"/>
      <c r="S801" s="3045"/>
      <c r="T801" s="3045"/>
      <c r="U801" s="3045"/>
      <c r="V801" s="3045"/>
      <c r="W801" s="3045"/>
      <c r="X801" s="3045"/>
      <c r="Y801" s="3045"/>
      <c r="Z801" s="3045"/>
      <c r="AA801" s="3045"/>
      <c r="AB801" s="3045"/>
      <c r="AC801" s="3045"/>
      <c r="AD801" s="3045"/>
      <c r="AE801" s="3046"/>
      <c r="AF801" s="3050">
        <f ca="1">SUM(AF784:AK799)-AF800</f>
        <v>120</v>
      </c>
      <c r="AG801" s="3051"/>
      <c r="AH801" s="3051"/>
      <c r="AI801" s="3051"/>
      <c r="AJ801" s="3051"/>
      <c r="AK801" s="3052"/>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047"/>
      <c r="B802" s="3048"/>
      <c r="C802" s="3048"/>
      <c r="D802" s="3048"/>
      <c r="E802" s="3048"/>
      <c r="F802" s="3048"/>
      <c r="G802" s="3048"/>
      <c r="H802" s="3048"/>
      <c r="I802" s="3048"/>
      <c r="J802" s="3048"/>
      <c r="K802" s="3048"/>
      <c r="L802" s="3048"/>
      <c r="M802" s="3048"/>
      <c r="N802" s="3048"/>
      <c r="O802" s="3048"/>
      <c r="P802" s="3048"/>
      <c r="Q802" s="3048"/>
      <c r="R802" s="3048"/>
      <c r="S802" s="3048"/>
      <c r="T802" s="3048"/>
      <c r="U802" s="3048"/>
      <c r="V802" s="3048"/>
      <c r="W802" s="3048"/>
      <c r="X802" s="3048"/>
      <c r="Y802" s="3048"/>
      <c r="Z802" s="3048"/>
      <c r="AA802" s="3048"/>
      <c r="AB802" s="3048"/>
      <c r="AC802" s="3048"/>
      <c r="AD802" s="3048"/>
      <c r="AE802" s="3049"/>
      <c r="AF802" s="3053"/>
      <c r="AG802" s="3054"/>
      <c r="AH802" s="3054"/>
      <c r="AI802" s="3054"/>
      <c r="AJ802" s="3054"/>
      <c r="AK802" s="3055"/>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2021-01-05T23:44:59Z</cp:lastPrinted>
  <dcterms:created xsi:type="dcterms:W3CDTF">2007-12-27T18:26:28Z</dcterms:created>
  <dcterms:modified xsi:type="dcterms:W3CDTF">2021-02-02T23:12:40Z</dcterms:modified>
</cp:coreProperties>
</file>