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C:\Users\cclaessen\Desktop\TCAC CDLAC Application (TCAC) Rename Folders\"/>
    </mc:Choice>
  </mc:AlternateContent>
  <xr:revisionPtr revIDLastSave="0" documentId="13_ncr:1_{EAA5C1C2-2722-4149-B0BF-F63F96B00147}" xr6:coauthVersionLast="46" xr6:coauthVersionMax="46" xr10:uidLastSave="{00000000-0000-0000-0000-000000000000}"/>
  <bookViews>
    <workbookView xWindow="11055" yWindow="1425" windowWidth="15795" windowHeight="13635"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24"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Checklist'!$A$1:$G$1272</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Budget'!$A$1:$BS$40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Checklist'!$1522:$65567,'Application Checklist'!$812:$1316,'Application Checklist'!$1521:$1521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2" i="7" l="1"/>
  <c r="E52" i="7"/>
  <c r="G53" i="7"/>
  <c r="I53" i="7" s="1"/>
  <c r="K53" i="7" s="1"/>
  <c r="M53" i="7" s="1"/>
  <c r="O53" i="7" s="1"/>
  <c r="Q53" i="7" s="1"/>
  <c r="S53" i="7" s="1"/>
  <c r="U53" i="7" s="1"/>
  <c r="W53" i="7" s="1"/>
  <c r="Y53" i="7" s="1"/>
  <c r="AA53" i="7" s="1"/>
  <c r="AC53" i="7" s="1"/>
  <c r="AE53" i="7" s="1"/>
  <c r="AG53" i="7" s="1"/>
  <c r="C93" i="4" l="1"/>
  <c r="AC885" i="3" l="1"/>
  <c r="C79" i="4" l="1"/>
  <c r="S69" i="4"/>
  <c r="E95" i="4"/>
  <c r="E93" i="4"/>
  <c r="E91" i="4"/>
  <c r="E87" i="4"/>
  <c r="E76" i="4"/>
  <c r="E74" i="4"/>
  <c r="E73" i="4"/>
  <c r="E72" i="4"/>
  <c r="E68" i="4"/>
  <c r="E67" i="4"/>
  <c r="E66" i="4"/>
  <c r="E60" i="4"/>
  <c r="E59" i="4"/>
  <c r="E57" i="4"/>
  <c r="E53" i="4"/>
  <c r="E48" i="4"/>
  <c r="E47" i="4"/>
  <c r="E36" i="4"/>
  <c r="E15" i="4"/>
  <c r="E14" i="4"/>
  <c r="E9" i="4"/>
  <c r="E7" i="4"/>
  <c r="E6" i="4"/>
  <c r="E5" i="4"/>
  <c r="C92" i="4"/>
  <c r="E92" i="4" s="1"/>
  <c r="C90" i="4"/>
  <c r="E90" i="4" s="1"/>
  <c r="C89" i="4"/>
  <c r="E89" i="4" s="1"/>
  <c r="C88" i="4"/>
  <c r="E88" i="4" s="1"/>
  <c r="C86" i="4"/>
  <c r="E86" i="4" s="1"/>
  <c r="C85" i="4"/>
  <c r="E85" i="4" s="1"/>
  <c r="C84" i="4"/>
  <c r="E84" i="4" s="1"/>
  <c r="C80" i="4"/>
  <c r="E80" i="4" s="1"/>
  <c r="C69" i="4"/>
  <c r="E69" i="4" s="1"/>
  <c r="C65" i="4"/>
  <c r="E65" i="4" s="1"/>
  <c r="C61" i="4"/>
  <c r="E61" i="4" s="1"/>
  <c r="C58" i="4"/>
  <c r="E58" i="4" s="1"/>
  <c r="C52" i="4"/>
  <c r="E52" i="4" s="1"/>
  <c r="C51" i="4"/>
  <c r="E51" i="4" s="1"/>
  <c r="C50" i="4"/>
  <c r="E50" i="4" s="1"/>
  <c r="C43" i="4"/>
  <c r="C40" i="4"/>
  <c r="C41" i="4" s="1"/>
  <c r="E41" i="4" s="1"/>
  <c r="C35" i="4"/>
  <c r="E35" i="4" s="1"/>
  <c r="C29" i="4"/>
  <c r="E29" i="4" s="1"/>
  <c r="C10" i="4"/>
  <c r="E10" i="4" s="1"/>
  <c r="C13" i="4"/>
  <c r="E13" i="4" s="1"/>
  <c r="C4" i="4"/>
  <c r="AJ1004" i="3"/>
  <c r="H40" i="4" l="1"/>
  <c r="E40" i="4" s="1"/>
  <c r="H43" i="4"/>
  <c r="E43" i="4" s="1"/>
  <c r="M943" i="3"/>
  <c r="AC886" i="3"/>
  <c r="B8" i="8"/>
  <c r="B5" i="8"/>
  <c r="E11" i="8"/>
  <c r="E12" i="8" s="1"/>
  <c r="B12" i="8"/>
  <c r="E7" i="8"/>
  <c r="E8" i="8" s="1"/>
  <c r="E4" i="8"/>
  <c r="E5" i="8" s="1"/>
  <c r="AO640" i="3"/>
  <c r="I30" i="4" s="1"/>
  <c r="U637" i="3"/>
  <c r="AM569" i="3"/>
  <c r="AM568" i="3"/>
  <c r="AO641" i="3" s="1"/>
  <c r="J4" i="4" s="1"/>
  <c r="E4" i="4" s="1"/>
  <c r="AM567" i="3"/>
  <c r="AO639" i="3" s="1"/>
  <c r="AM566" i="3"/>
  <c r="AA931" i="3" s="1"/>
  <c r="W565" i="3"/>
  <c r="W564" i="3"/>
  <c r="AO638" i="3" l="1"/>
  <c r="G30" i="4" s="1"/>
  <c r="AA932" i="3"/>
  <c r="F37" i="13"/>
  <c r="F36" i="13"/>
  <c r="N209" i="20"/>
  <c r="N208" i="20"/>
  <c r="N207" i="20"/>
  <c r="S36" i="4"/>
  <c r="H94" i="4"/>
  <c r="E94" i="4" s="1"/>
  <c r="W865" i="3"/>
  <c r="W861" i="3"/>
  <c r="W857" i="3"/>
  <c r="W852" i="3"/>
  <c r="W843" i="3"/>
  <c r="W844" i="3" s="1"/>
  <c r="Z811" i="3"/>
  <c r="R66" i="4" l="1"/>
  <c r="S66" i="4" s="1"/>
  <c r="R67" i="4"/>
  <c r="S67" i="4" s="1"/>
  <c r="R68" i="4"/>
  <c r="S68" i="4" s="1"/>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6" i="11"/>
  <c r="C37" i="11"/>
  <c r="C38"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B100" i="13"/>
  <c r="C100" i="13" s="1"/>
  <c r="G100" i="13" s="1"/>
  <c r="B101" i="13"/>
  <c r="C101" i="13" s="1"/>
  <c r="G101" i="13" s="1"/>
  <c r="B102" i="13"/>
  <c r="C102" i="13" s="1"/>
  <c r="G102" i="13" s="1"/>
  <c r="B103" i="13"/>
  <c r="C103" i="13" s="1"/>
  <c r="G103" i="13" s="1"/>
  <c r="A69" i="13"/>
  <c r="H66" i="13"/>
  <c r="H67" i="13"/>
  <c r="H68" i="13"/>
  <c r="H69" i="13"/>
  <c r="E66" i="13"/>
  <c r="E67" i="13"/>
  <c r="E68" i="13"/>
  <c r="B66" i="13"/>
  <c r="B67" i="13"/>
  <c r="C67" i="13" s="1"/>
  <c r="B68" i="13"/>
  <c r="C68" i="13" s="1"/>
  <c r="B69" i="13"/>
  <c r="A53" i="13"/>
  <c r="H36" i="13"/>
  <c r="B36" i="13"/>
  <c r="H24" i="13"/>
  <c r="E24" i="13"/>
  <c r="B24" i="13"/>
  <c r="C66" i="13" l="1"/>
  <c r="F66" i="13"/>
  <c r="E36" i="13"/>
  <c r="AW110" i="20"/>
  <c r="V28" i="23"/>
  <c r="AB28" i="23"/>
  <c r="AH28" i="23"/>
  <c r="AN28" i="23"/>
  <c r="P28" i="23"/>
  <c r="J28" i="23" l="1"/>
  <c r="AB131" i="23" l="1"/>
  <c r="Q131"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S100" i="4" s="1"/>
  <c r="E100" i="13"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S10" i="4" s="1"/>
  <c r="R91" i="4"/>
  <c r="S91" i="4" s="1"/>
  <c r="R84" i="4"/>
  <c r="S84" i="4" s="1"/>
  <c r="T25" i="15"/>
  <c r="AI7" i="15" s="1"/>
  <c r="AG440" i="3"/>
  <c r="AG443" i="3"/>
  <c r="B59" i="4"/>
  <c r="C81" i="11"/>
  <c r="B81" i="11"/>
  <c r="I96" i="13"/>
  <c r="J96" i="13"/>
  <c r="J81" i="13"/>
  <c r="I81" i="13"/>
  <c r="D81" i="13"/>
  <c r="H80" i="13"/>
  <c r="B80" i="13"/>
  <c r="R80" i="4"/>
  <c r="S80" i="4" s="1"/>
  <c r="E80" i="13" s="1"/>
  <c r="D81" i="4"/>
  <c r="F81" i="4"/>
  <c r="G81" i="4"/>
  <c r="H81" i="4"/>
  <c r="I81" i="4"/>
  <c r="J81" i="4"/>
  <c r="K81" i="4"/>
  <c r="M81" i="4"/>
  <c r="N81" i="4"/>
  <c r="O81" i="4"/>
  <c r="P81" i="4"/>
  <c r="Q81" i="4"/>
  <c r="T81" i="4"/>
  <c r="H81" i="13" s="1"/>
  <c r="B80" i="4"/>
  <c r="C9" i="7"/>
  <c r="C7" i="7"/>
  <c r="C5" i="7"/>
  <c r="A76" i="13"/>
  <c r="A61" i="13"/>
  <c r="A37" i="13"/>
  <c r="A25" i="13"/>
  <c r="A103" i="13"/>
  <c r="A95" i="13"/>
  <c r="A94" i="13"/>
  <c r="A93" i="13"/>
  <c r="AD68" i="15"/>
  <c r="F5" i="8"/>
  <c r="F6" i="8"/>
  <c r="B7" i="8"/>
  <c r="F7" i="8" s="1"/>
  <c r="F8" i="8"/>
  <c r="F9" i="8"/>
  <c r="F10" i="8"/>
  <c r="B11" i="8"/>
  <c r="F11" i="8" s="1"/>
  <c r="F12" i="8"/>
  <c r="F13" i="8"/>
  <c r="F14" i="8"/>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E84" i="13"/>
  <c r="E27" i="13"/>
  <c r="E25" i="13"/>
  <c r="E23" i="13"/>
  <c r="E22" i="13"/>
  <c r="E21" i="13"/>
  <c r="E20" i="13"/>
  <c r="E19" i="13"/>
  <c r="E18" i="13"/>
  <c r="E17" i="13"/>
  <c r="E15" i="13"/>
  <c r="E14" i="13"/>
  <c r="E13" i="13"/>
  <c r="E10" i="13"/>
  <c r="B95" i="13"/>
  <c r="C95" i="13" s="1"/>
  <c r="B94" i="13"/>
  <c r="B93" i="13"/>
  <c r="B92" i="13"/>
  <c r="B91" i="13"/>
  <c r="B90" i="13"/>
  <c r="B89" i="13"/>
  <c r="B88" i="13"/>
  <c r="B87" i="13"/>
  <c r="B86" i="13"/>
  <c r="B85" i="13"/>
  <c r="B84" i="13"/>
  <c r="B76" i="13"/>
  <c r="C76" i="13" s="1"/>
  <c r="B74" i="13"/>
  <c r="C74" i="13" s="1"/>
  <c r="B73" i="13"/>
  <c r="C73" i="13" s="1"/>
  <c r="B72" i="13"/>
  <c r="C72" i="13" s="1"/>
  <c r="B70" i="13"/>
  <c r="B65" i="13"/>
  <c r="G65" i="13" s="1"/>
  <c r="G70" i="13" s="1"/>
  <c r="B61" i="13"/>
  <c r="B60" i="13"/>
  <c r="C60" i="13" s="1"/>
  <c r="B59" i="13"/>
  <c r="C59" i="13" s="1"/>
  <c r="B58" i="13"/>
  <c r="B57" i="13"/>
  <c r="B53" i="13"/>
  <c r="B52" i="13"/>
  <c r="B51" i="13"/>
  <c r="B50" i="13"/>
  <c r="B48" i="13"/>
  <c r="B47" i="13"/>
  <c r="F47" i="13" s="1"/>
  <c r="B43" i="13"/>
  <c r="C42" i="4"/>
  <c r="B42" i="13" s="1"/>
  <c r="B41" i="13"/>
  <c r="B40" i="13"/>
  <c r="B37" i="13"/>
  <c r="B35" i="13"/>
  <c r="F35" i="13" s="1"/>
  <c r="B29" i="13"/>
  <c r="F29" i="13" s="1"/>
  <c r="B27" i="13"/>
  <c r="B25" i="13"/>
  <c r="B23" i="13"/>
  <c r="B22" i="13"/>
  <c r="B21" i="13"/>
  <c r="B20" i="13"/>
  <c r="B19" i="13"/>
  <c r="B18" i="13"/>
  <c r="B17" i="13"/>
  <c r="B5" i="13"/>
  <c r="B6" i="13"/>
  <c r="B7" i="13"/>
  <c r="C8" i="4"/>
  <c r="B8" i="13" s="1"/>
  <c r="B9" i="13"/>
  <c r="B10" i="13"/>
  <c r="B13" i="13"/>
  <c r="B14" i="13"/>
  <c r="B15" i="13"/>
  <c r="B4" i="13"/>
  <c r="C8" i="13" s="1"/>
  <c r="J104" i="13"/>
  <c r="I104" i="13"/>
  <c r="D104" i="13"/>
  <c r="D96" i="13"/>
  <c r="D77" i="13"/>
  <c r="J70" i="13"/>
  <c r="I70" i="13"/>
  <c r="F70" i="13"/>
  <c r="D70" i="13"/>
  <c r="C70" i="13"/>
  <c r="D62" i="13"/>
  <c r="J54" i="13"/>
  <c r="I54" i="13"/>
  <c r="D54" i="13"/>
  <c r="J42" i="13"/>
  <c r="I42" i="13"/>
  <c r="G42" i="13"/>
  <c r="F26" i="13"/>
  <c r="D42" i="13"/>
  <c r="J38" i="13"/>
  <c r="I38" i="13"/>
  <c r="D38" i="13"/>
  <c r="J26" i="13"/>
  <c r="I26" i="13"/>
  <c r="I11" i="13"/>
  <c r="G26" i="13"/>
  <c r="D26" i="13"/>
  <c r="C26" i="13"/>
  <c r="J11" i="13"/>
  <c r="D11" i="13"/>
  <c r="C11" i="13"/>
  <c r="D8" i="13"/>
  <c r="T104" i="4"/>
  <c r="H104" i="13" s="1"/>
  <c r="R103" i="4"/>
  <c r="S103" i="4" s="1"/>
  <c r="E103" i="13" s="1"/>
  <c r="R102" i="4"/>
  <c r="S102" i="4" s="1"/>
  <c r="E102" i="13" s="1"/>
  <c r="R101" i="4"/>
  <c r="S101" i="4" s="1"/>
  <c r="E101" i="13" s="1"/>
  <c r="R95" i="4"/>
  <c r="S95" i="4" s="1"/>
  <c r="E95" i="13" s="1"/>
  <c r="R94" i="4"/>
  <c r="S94" i="4" s="1"/>
  <c r="E94" i="13" s="1"/>
  <c r="R93" i="4"/>
  <c r="S93" i="4" s="1"/>
  <c r="R92" i="4"/>
  <c r="S92" i="4" s="1"/>
  <c r="E92" i="13" s="1"/>
  <c r="R90" i="4"/>
  <c r="R89" i="4"/>
  <c r="S89" i="4" s="1"/>
  <c r="E89" i="13" s="1"/>
  <c r="R88" i="4"/>
  <c r="R87" i="4"/>
  <c r="S87" i="4" s="1"/>
  <c r="E87" i="13" s="1"/>
  <c r="R86" i="4"/>
  <c r="S86" i="4" s="1"/>
  <c r="E86" i="13" s="1"/>
  <c r="R85" i="4"/>
  <c r="S85" i="4" s="1"/>
  <c r="E85" i="13" s="1"/>
  <c r="R76" i="4"/>
  <c r="R72" i="4"/>
  <c r="R73" i="4"/>
  <c r="R74" i="4"/>
  <c r="R69" i="4"/>
  <c r="E69" i="13" s="1"/>
  <c r="R65" i="4"/>
  <c r="E65" i="13" s="1"/>
  <c r="R61" i="4"/>
  <c r="R60" i="4"/>
  <c r="R59" i="4"/>
  <c r="R58" i="4"/>
  <c r="R57" i="4"/>
  <c r="R53" i="4"/>
  <c r="S53" i="4" s="1"/>
  <c r="E53" i="13" s="1"/>
  <c r="R52" i="4"/>
  <c r="S52" i="4" s="1"/>
  <c r="E52" i="13" s="1"/>
  <c r="R51" i="4"/>
  <c r="S51" i="4" s="1"/>
  <c r="E51" i="13" s="1"/>
  <c r="R50" i="4"/>
  <c r="E50" i="13" s="1"/>
  <c r="R48" i="4"/>
  <c r="S48" i="4" s="1"/>
  <c r="E48" i="13" s="1"/>
  <c r="R47" i="4"/>
  <c r="S47" i="4" s="1"/>
  <c r="E47" i="13" s="1"/>
  <c r="R43" i="4"/>
  <c r="S43" i="4" s="1"/>
  <c r="E43" i="13" s="1"/>
  <c r="R41" i="4"/>
  <c r="S41" i="4" s="1"/>
  <c r="E41" i="13" s="1"/>
  <c r="R40" i="4"/>
  <c r="S40" i="4" s="1"/>
  <c r="E40" i="13" s="1"/>
  <c r="R35" i="4"/>
  <c r="S35" i="4" s="1"/>
  <c r="R29" i="4"/>
  <c r="S29" i="4" s="1"/>
  <c r="R27" i="4"/>
  <c r="R25" i="4"/>
  <c r="R23" i="4"/>
  <c r="R22" i="4"/>
  <c r="R21" i="4"/>
  <c r="R20" i="4"/>
  <c r="R19" i="4"/>
  <c r="R18" i="4"/>
  <c r="R17" i="4"/>
  <c r="R15" i="4"/>
  <c r="R14" i="4"/>
  <c r="R13" i="4"/>
  <c r="R9" i="4"/>
  <c r="R11" i="4" s="1"/>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B4" i="8"/>
  <c r="F4" i="8" s="1"/>
  <c r="C4" i="8"/>
  <c r="H4" i="8" s="1"/>
  <c r="A5" i="8"/>
  <c r="C5" i="8"/>
  <c r="H5" i="8" s="1"/>
  <c r="I5" i="8" s="1"/>
  <c r="A6" i="8"/>
  <c r="C6" i="8"/>
  <c r="H6" i="8"/>
  <c r="I6" i="8"/>
  <c r="A7" i="8"/>
  <c r="C7" i="8"/>
  <c r="H7" i="8" s="1"/>
  <c r="I7" i="8" s="1"/>
  <c r="A8" i="8"/>
  <c r="C8" i="8"/>
  <c r="H8" i="8" s="1"/>
  <c r="I8" i="8" s="1"/>
  <c r="A9" i="8"/>
  <c r="C9" i="8"/>
  <c r="H9" i="8"/>
  <c r="I9" i="8"/>
  <c r="A10" i="8"/>
  <c r="C10" i="8"/>
  <c r="H10" i="8"/>
  <c r="I10" i="8"/>
  <c r="A11" i="8"/>
  <c r="C11" i="8"/>
  <c r="H11" i="8" s="1"/>
  <c r="I11" i="8" s="1"/>
  <c r="A12" i="8"/>
  <c r="C12" i="8"/>
  <c r="H12" i="8" s="1"/>
  <c r="I12" i="8" s="1"/>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D8" i="4"/>
  <c r="D11" i="4"/>
  <c r="D26" i="4"/>
  <c r="D38" i="4"/>
  <c r="D42" i="4"/>
  <c r="D54" i="4"/>
  <c r="D62" i="4"/>
  <c r="D77" i="4"/>
  <c r="D96" i="4"/>
  <c r="D104" i="4"/>
  <c r="S26" i="4"/>
  <c r="E26" i="13" s="1"/>
  <c r="S42" i="4"/>
  <c r="E42" i="13" s="1"/>
  <c r="F2" i="4"/>
  <c r="G2" i="4"/>
  <c r="H2" i="4"/>
  <c r="I2" i="4"/>
  <c r="J2" i="4"/>
  <c r="K2" i="4"/>
  <c r="L2" i="4"/>
  <c r="M2" i="4"/>
  <c r="N2" i="4"/>
  <c r="O2" i="4"/>
  <c r="P2" i="4"/>
  <c r="Q2" i="4"/>
  <c r="B4" i="4"/>
  <c r="B5" i="4"/>
  <c r="B6" i="4"/>
  <c r="B7" i="4"/>
  <c r="F8" i="4"/>
  <c r="G8" i="4"/>
  <c r="G11" i="4"/>
  <c r="H8" i="4"/>
  <c r="H11" i="4"/>
  <c r="I8" i="4"/>
  <c r="I11" i="4"/>
  <c r="J8" i="4"/>
  <c r="J11" i="4"/>
  <c r="J26" i="4"/>
  <c r="J38" i="4"/>
  <c r="J42" i="4"/>
  <c r="J54" i="4"/>
  <c r="J62" i="4"/>
  <c r="J70" i="4"/>
  <c r="J77" i="4"/>
  <c r="J96" i="4"/>
  <c r="J104"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42" i="4"/>
  <c r="M54" i="4"/>
  <c r="M62" i="4"/>
  <c r="M70" i="4"/>
  <c r="M77" i="4"/>
  <c r="M96" i="4"/>
  <c r="M104" i="4"/>
  <c r="N26" i="4"/>
  <c r="N38" i="4"/>
  <c r="N42" i="4"/>
  <c r="N54" i="4"/>
  <c r="N62" i="4"/>
  <c r="N70" i="4"/>
  <c r="N77" i="4"/>
  <c r="N96" i="4"/>
  <c r="N104" i="4"/>
  <c r="O26" i="4"/>
  <c r="P26" i="4"/>
  <c r="Q26" i="4"/>
  <c r="B27" i="4"/>
  <c r="B29" i="4"/>
  <c r="B35" i="4"/>
  <c r="B37" i="4"/>
  <c r="G38"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K54" i="4"/>
  <c r="L54" i="4"/>
  <c r="O54" i="4"/>
  <c r="Q54" i="4"/>
  <c r="B57" i="4"/>
  <c r="B58" i="4"/>
  <c r="B60" i="4"/>
  <c r="B61" i="4"/>
  <c r="G62" i="4"/>
  <c r="H62" i="4"/>
  <c r="K62" i="4"/>
  <c r="L62" i="4"/>
  <c r="O62" i="4"/>
  <c r="O70" i="4"/>
  <c r="O77" i="4"/>
  <c r="O96" i="4"/>
  <c r="O104" i="4"/>
  <c r="Q62" i="4"/>
  <c r="B65" i="4"/>
  <c r="B69" i="4"/>
  <c r="E70" i="4"/>
  <c r="F70" i="4"/>
  <c r="G70" i="4"/>
  <c r="H70" i="4"/>
  <c r="I70" i="4"/>
  <c r="K70" i="4"/>
  <c r="L70" i="4"/>
  <c r="Q70" i="4"/>
  <c r="B72" i="4"/>
  <c r="B73" i="4"/>
  <c r="B74" i="4"/>
  <c r="B76" i="4"/>
  <c r="F77" i="4"/>
  <c r="G77" i="4"/>
  <c r="H77" i="4"/>
  <c r="I77" i="4"/>
  <c r="K77" i="4"/>
  <c r="L77" i="4"/>
  <c r="Q77" i="4"/>
  <c r="B84" i="4"/>
  <c r="B85" i="4"/>
  <c r="B86" i="4"/>
  <c r="B87" i="4"/>
  <c r="B88" i="4"/>
  <c r="B89" i="4"/>
  <c r="B90" i="4"/>
  <c r="B91" i="4"/>
  <c r="B92" i="4"/>
  <c r="B93" i="4"/>
  <c r="B94" i="4"/>
  <c r="B95" i="4"/>
  <c r="F96" i="4"/>
  <c r="G96" i="4"/>
  <c r="H96" i="4"/>
  <c r="I96" i="4"/>
  <c r="K96" i="4"/>
  <c r="L96" i="4"/>
  <c r="Q96" i="4"/>
  <c r="B101" i="4"/>
  <c r="B102" i="4"/>
  <c r="B103" i="4"/>
  <c r="F104" i="4"/>
  <c r="G104" i="4"/>
  <c r="H104" i="4"/>
  <c r="I104" i="4"/>
  <c r="L104" i="4"/>
  <c r="Q104" i="4"/>
  <c r="G108" i="4"/>
  <c r="H108" i="4"/>
  <c r="I108" i="4"/>
  <c r="J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31" i="3"/>
  <c r="AC732" i="3"/>
  <c r="AC735"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Y728" i="3" s="1"/>
  <c r="U830" i="3"/>
  <c r="Y731" i="3" s="1"/>
  <c r="Y732" i="3" s="1"/>
  <c r="Y733" i="3" s="1"/>
  <c r="Y734" i="3" s="1"/>
  <c r="AC734" i="3" s="1"/>
  <c r="Y830" i="3"/>
  <c r="Y735" i="3" s="1"/>
  <c r="AC830" i="3"/>
  <c r="AG830" i="3"/>
  <c r="BI844" i="3"/>
  <c r="Z899" i="3"/>
  <c r="BA997" i="3"/>
  <c r="BA998" i="3"/>
  <c r="BA999" i="3"/>
  <c r="BA1001" i="3"/>
  <c r="BA1002" i="3"/>
  <c r="BA1003" i="3"/>
  <c r="BA1004" i="3"/>
  <c r="BA1005" i="3"/>
  <c r="AF1000" i="3"/>
  <c r="B70" i="4"/>
  <c r="B26" i="4"/>
  <c r="Y737" i="3" l="1"/>
  <c r="AC737" i="3" s="1"/>
  <c r="AM737" i="3" s="1"/>
  <c r="BI712" i="3" s="1"/>
  <c r="Y736" i="3"/>
  <c r="AC736" i="3" s="1"/>
  <c r="Y738" i="3"/>
  <c r="AC738" i="3" s="1"/>
  <c r="C53" i="13"/>
  <c r="F53" i="13"/>
  <c r="E6" i="21"/>
  <c r="M942" i="3"/>
  <c r="G87" i="13"/>
  <c r="F87" i="13"/>
  <c r="Y729" i="3"/>
  <c r="AC729" i="3" s="1"/>
  <c r="Y730" i="3"/>
  <c r="AC730" i="3" s="1"/>
  <c r="AM735" i="3"/>
  <c r="BI710" i="3" s="1"/>
  <c r="AC733" i="3"/>
  <c r="D51" i="11"/>
  <c r="S90" i="4"/>
  <c r="E90" i="13" s="1"/>
  <c r="C94" i="13"/>
  <c r="F94" i="13"/>
  <c r="G96" i="13"/>
  <c r="F48" i="13"/>
  <c r="AM738" i="3"/>
  <c r="BI713" i="3" s="1"/>
  <c r="AM736" i="3"/>
  <c r="BI711" i="3" s="1"/>
  <c r="N153" i="23"/>
  <c r="BN658" i="3"/>
  <c r="CS648" i="3"/>
  <c r="CS658" i="3" s="1"/>
  <c r="DR660" i="3" s="1"/>
  <c r="E37" i="13"/>
  <c r="E93" i="13"/>
  <c r="S70" i="4"/>
  <c r="E70" i="13" s="1"/>
  <c r="E35" i="13"/>
  <c r="DH658" i="3"/>
  <c r="DR658" i="3"/>
  <c r="DC658" i="3"/>
  <c r="DM658" i="3"/>
  <c r="CX658" i="3"/>
  <c r="I4" i="8"/>
  <c r="I30" i="8" s="1"/>
  <c r="Z807" i="3" s="1"/>
  <c r="G54" i="13"/>
  <c r="E29" i="13"/>
  <c r="G38" i="13"/>
  <c r="D30" i="11"/>
  <c r="E93" i="20"/>
  <c r="E92" i="20"/>
  <c r="B27" i="11"/>
  <c r="D49" i="11"/>
  <c r="C27" i="11"/>
  <c r="EH635" i="3"/>
  <c r="EM635" i="3"/>
  <c r="ER635" i="3"/>
  <c r="EW635" i="3"/>
  <c r="DX635" i="3"/>
  <c r="EC635" i="3"/>
  <c r="AM734" i="3"/>
  <c r="BI709" i="3" s="1"/>
  <c r="I63" i="13"/>
  <c r="I97" i="13" s="1"/>
  <c r="I105" i="13" s="1"/>
  <c r="I107" i="13" s="1"/>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52" i="11"/>
  <c r="I12" i="4"/>
  <c r="G12" i="4"/>
  <c r="D6" i="11"/>
  <c r="L63" i="4"/>
  <c r="Q12" i="4"/>
  <c r="B11" i="4"/>
  <c r="O63" i="4"/>
  <c r="O97" i="4" s="1"/>
  <c r="O105" i="4" s="1"/>
  <c r="D18" i="11"/>
  <c r="R70" i="4"/>
  <c r="B8" i="4"/>
  <c r="N154" i="23" s="1"/>
  <c r="D10" i="11"/>
  <c r="D36" i="11"/>
  <c r="D61" i="11"/>
  <c r="D20" i="11"/>
  <c r="D8" i="11"/>
  <c r="D85" i="11"/>
  <c r="B43" i="11"/>
  <c r="D102" i="11"/>
  <c r="D94" i="11"/>
  <c r="C43" i="11"/>
  <c r="C12" i="13"/>
  <c r="D63" i="4"/>
  <c r="D97" i="4" s="1"/>
  <c r="D105" i="4" s="1"/>
  <c r="D7" i="11"/>
  <c r="J12" i="4"/>
  <c r="D22" i="11"/>
  <c r="O12" i="4"/>
  <c r="I63" i="4"/>
  <c r="I97" i="4" s="1"/>
  <c r="I105" i="4" s="1"/>
  <c r="D95" i="11"/>
  <c r="D25" i="11"/>
  <c r="B11" i="13"/>
  <c r="D12" i="4"/>
  <c r="H12" i="4"/>
  <c r="B9" i="11"/>
  <c r="D23" i="11"/>
  <c r="D19" i="11"/>
  <c r="D89" i="11"/>
  <c r="D73" i="11"/>
  <c r="D44" i="11"/>
  <c r="D15" i="11"/>
  <c r="D63" i="13"/>
  <c r="D97" i="13" s="1"/>
  <c r="D105" i="13" s="1"/>
  <c r="D14" i="11"/>
  <c r="Q63" i="4"/>
  <c r="Q97" i="4" s="1"/>
  <c r="Q105" i="4" s="1"/>
  <c r="D87" i="11"/>
  <c r="N63" i="4"/>
  <c r="N97" i="4" s="1"/>
  <c r="N105" i="4" s="1"/>
  <c r="N12" i="4"/>
  <c r="F12" i="4"/>
  <c r="D60" i="11"/>
  <c r="M12" i="4"/>
  <c r="D74" i="11"/>
  <c r="D59" i="11"/>
  <c r="D38" i="11"/>
  <c r="R42" i="4"/>
  <c r="P63" i="4"/>
  <c r="P97" i="4" s="1"/>
  <c r="P105" i="4" s="1"/>
  <c r="C9" i="11"/>
  <c r="D12" i="13"/>
  <c r="D58" i="11"/>
  <c r="D62" i="11"/>
  <c r="D24" i="11"/>
  <c r="D101" i="11"/>
  <c r="D90" i="11"/>
  <c r="D66" i="11"/>
  <c r="D92" i="11"/>
  <c r="D75" i="11"/>
  <c r="B71" i="11"/>
  <c r="D28" i="11"/>
  <c r="D103" i="11"/>
  <c r="D88" i="11"/>
  <c r="D42" i="11"/>
  <c r="D21" i="11"/>
  <c r="D16" i="11"/>
  <c r="B12" i="11"/>
  <c r="R26" i="4"/>
  <c r="D81" i="11"/>
  <c r="D86" i="11"/>
  <c r="AM733" i="3"/>
  <c r="BI708" i="3" s="1"/>
  <c r="AM731" i="3"/>
  <c r="BI706" i="3" s="1"/>
  <c r="AM730" i="3"/>
  <c r="BI705" i="3" s="1"/>
  <c r="AM728" i="3"/>
  <c r="BI703" i="3" s="1"/>
  <c r="AD193" i="20"/>
  <c r="AD194" i="20" s="1"/>
  <c r="B42" i="4"/>
  <c r="D77" i="11"/>
  <c r="C71" i="11"/>
  <c r="G63" i="4"/>
  <c r="G97" i="4" s="1"/>
  <c r="G105" i="4" s="1"/>
  <c r="D91" i="11"/>
  <c r="J63" i="4"/>
  <c r="J97" i="4" s="1"/>
  <c r="J105" i="4" s="1"/>
  <c r="D41" i="11"/>
  <c r="C12" i="11"/>
  <c r="AD7" i="15"/>
  <c r="BN644" i="3"/>
  <c r="CM644" i="3"/>
  <c r="CQ645" i="3" s="1"/>
  <c r="CH644" i="3"/>
  <c r="CL645" i="3" s="1"/>
  <c r="BS644" i="3"/>
  <c r="BW645" i="3" s="1"/>
  <c r="DH635" i="3"/>
  <c r="BX644" i="3"/>
  <c r="CB645" i="3" s="1"/>
  <c r="Y7" i="15"/>
  <c r="T7" i="15"/>
  <c r="CC635" i="3"/>
  <c r="CM635" i="3"/>
  <c r="BX658" i="3"/>
  <c r="CB659" i="3" s="1"/>
  <c r="BX635" i="3"/>
  <c r="AC882" i="3"/>
  <c r="AC776" i="3"/>
  <c r="BA987" i="3"/>
  <c r="I1027" i="3" s="1"/>
  <c r="DR635" i="3"/>
  <c r="CX635" i="3"/>
  <c r="BA995" i="3"/>
  <c r="CS635" i="3"/>
  <c r="AC796" i="3"/>
  <c r="BS635"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K14" i="7"/>
  <c r="G9" i="7"/>
  <c r="I8" i="7"/>
  <c r="I16" i="7"/>
  <c r="K16" i="7" s="1"/>
  <c r="M16" i="7" s="1"/>
  <c r="O16" i="7" s="1"/>
  <c r="Q16" i="7" s="1"/>
  <c r="S16" i="7" s="1"/>
  <c r="U16" i="7" s="1"/>
  <c r="W16" i="7" s="1"/>
  <c r="Y16" i="7" s="1"/>
  <c r="AA16" i="7" s="1"/>
  <c r="AC16" i="7" s="1"/>
  <c r="AE16" i="7" s="1"/>
  <c r="AG16" i="7" s="1"/>
  <c r="D104" i="11"/>
  <c r="T63" i="4"/>
  <c r="T97" i="4" s="1"/>
  <c r="D11" i="11"/>
  <c r="C12" i="4"/>
  <c r="B12" i="13" s="1"/>
  <c r="S96" i="4" l="1"/>
  <c r="E96" i="13" s="1"/>
  <c r="E6" i="7"/>
  <c r="M944" i="3"/>
  <c r="M945" i="3" s="1"/>
  <c r="F96" i="13"/>
  <c r="F42" i="13"/>
  <c r="C42" i="13"/>
  <c r="N160" i="23"/>
  <c r="G63" i="13"/>
  <c r="DX650" i="3"/>
  <c r="E11" i="21"/>
  <c r="BR637" i="3"/>
  <c r="EM662" i="3"/>
  <c r="E14" i="21"/>
  <c r="CG637" i="3"/>
  <c r="EW650" i="3"/>
  <c r="CQ637" i="3"/>
  <c r="ER658" i="3"/>
  <c r="E15" i="21"/>
  <c r="CL637" i="3"/>
  <c r="BR645" i="3"/>
  <c r="CS645" i="3" s="1"/>
  <c r="CS644" i="3"/>
  <c r="EH638" i="3"/>
  <c r="E13" i="21"/>
  <c r="CB637" i="3"/>
  <c r="CS660" i="3"/>
  <c r="BR659" i="3"/>
  <c r="CS661" i="3" s="1"/>
  <c r="EC660" i="3"/>
  <c r="E12" i="21"/>
  <c r="BW637" i="3"/>
  <c r="AD1037" i="3"/>
  <c r="E4" i="21" s="1"/>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T27" i="15"/>
  <c r="AD27" i="15"/>
  <c r="Y27" i="15"/>
  <c r="BI728" i="3"/>
  <c r="AM753" i="3" s="1"/>
  <c r="D71" i="11"/>
  <c r="B12" i="4"/>
  <c r="D9" i="11"/>
  <c r="B13" i="11"/>
  <c r="D12" i="11"/>
  <c r="C13" i="11"/>
  <c r="D26" i="11"/>
  <c r="D27" i="11" s="1"/>
  <c r="CM636" i="3"/>
  <c r="BX663" i="3"/>
  <c r="AB971" i="3" s="1"/>
  <c r="Y798" i="3"/>
  <c r="BN663" i="3"/>
  <c r="AB969" i="3" s="1"/>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E7" i="7"/>
  <c r="G6" i="7"/>
  <c r="K8" i="7"/>
  <c r="I9" i="7"/>
  <c r="M14" i="7"/>
  <c r="H63" i="13"/>
  <c r="T105" i="4"/>
  <c r="H97" i="13"/>
  <c r="CS637" i="3" l="1"/>
  <c r="G81" i="13"/>
  <c r="G97" i="13" s="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W847" i="3" s="1"/>
  <c r="AB973" i="3"/>
  <c r="E10" i="7"/>
  <c r="G4" i="7"/>
  <c r="G5" i="7" s="1"/>
  <c r="BI671" i="3"/>
  <c r="BI696" i="3" s="1"/>
  <c r="AH753" i="3" s="1"/>
  <c r="O14" i="7"/>
  <c r="M8" i="7"/>
  <c r="K9" i="7"/>
  <c r="G7" i="7"/>
  <c r="I6" i="7"/>
  <c r="T107" i="4"/>
  <c r="H105" i="13"/>
  <c r="P420" i="3" l="1"/>
  <c r="CS663" i="3"/>
  <c r="J8" i="22" s="1"/>
  <c r="J10" i="22" s="1"/>
  <c r="U588" i="20" s="1"/>
  <c r="E15" i="7"/>
  <c r="AC881" i="3"/>
  <c r="AC883" i="3" s="1"/>
  <c r="E126" i="20"/>
  <c r="E127" i="20" s="1"/>
  <c r="H107" i="13"/>
  <c r="E91" i="20"/>
  <c r="E81" i="20"/>
  <c r="E82" i="20" s="1"/>
  <c r="E83" i="20" s="1"/>
  <c r="AP83" i="20" s="1"/>
  <c r="I11" i="21"/>
  <c r="AJ973" i="3"/>
  <c r="AJ975" i="3" s="1"/>
  <c r="E16" i="21"/>
  <c r="AB974" i="3"/>
  <c r="G10" i="7"/>
  <c r="I4" i="7"/>
  <c r="I5" i="7" s="1"/>
  <c r="I7" i="7"/>
  <c r="K6" i="7"/>
  <c r="M9" i="7"/>
  <c r="O8" i="7"/>
  <c r="Q14" i="7"/>
  <c r="AD11" i="15" l="1"/>
  <c r="AD23" i="15" s="1"/>
  <c r="AD26" i="15" s="1"/>
  <c r="AD28" i="15" s="1"/>
  <c r="AI11" i="15"/>
  <c r="AI23" i="15" s="1"/>
  <c r="AI26" i="15" s="1"/>
  <c r="AI28" i="15" s="1"/>
  <c r="AJ1024" i="3"/>
  <c r="AP767" i="20" s="1"/>
  <c r="AJ1028" i="3"/>
  <c r="AP768" i="20" s="1"/>
  <c r="G15" i="7"/>
  <c r="E21" i="7"/>
  <c r="G104" i="13"/>
  <c r="G105" i="13" s="1"/>
  <c r="G107" i="13" s="1"/>
  <c r="E94" i="20"/>
  <c r="AP94" i="20" s="1"/>
  <c r="AK97" i="20" s="1"/>
  <c r="T786" i="20" s="1"/>
  <c r="AF786" i="20" s="1"/>
  <c r="AJ1015" i="3"/>
  <c r="AJ1011" i="3"/>
  <c r="AJ1008" i="3"/>
  <c r="AJ1020" i="3"/>
  <c r="AJ977" i="3"/>
  <c r="AJ986" i="3"/>
  <c r="AJ995" i="3"/>
  <c r="AP765" i="20"/>
  <c r="AJ992" i="3"/>
  <c r="B1039" i="3"/>
  <c r="I15" i="21"/>
  <c r="I14" i="21"/>
  <c r="K4" i="7"/>
  <c r="M4" i="7" s="1"/>
  <c r="M5" i="7" s="1"/>
  <c r="I10" i="7"/>
  <c r="S14" i="7"/>
  <c r="M6" i="7"/>
  <c r="K7" i="7"/>
  <c r="O9" i="7"/>
  <c r="Q8" i="7"/>
  <c r="I15" i="7" l="1"/>
  <c r="G21" i="7"/>
  <c r="AZ846" i="3"/>
  <c r="AZ849" i="3"/>
  <c r="AJ1032" i="3"/>
  <c r="T24" i="15" s="1"/>
  <c r="I16" i="21"/>
  <c r="AP769" i="20"/>
  <c r="O4" i="7"/>
  <c r="O5" i="7" s="1"/>
  <c r="K5" i="7"/>
  <c r="K10" i="7" s="1"/>
  <c r="U14" i="7"/>
  <c r="Q9" i="7"/>
  <c r="S8" i="7"/>
  <c r="O6" i="7"/>
  <c r="M7" i="7"/>
  <c r="M10" i="7" s="1"/>
  <c r="K15" i="7" l="1"/>
  <c r="I21" i="7"/>
  <c r="AZ854" i="3"/>
  <c r="AP772" i="20"/>
  <c r="AP771" i="20" s="1"/>
  <c r="AP774" i="20" s="1"/>
  <c r="AF767" i="20" s="1"/>
  <c r="Q4" i="7"/>
  <c r="S4" i="7" s="1"/>
  <c r="S9" i="7"/>
  <c r="U8" i="7"/>
  <c r="W14" i="7"/>
  <c r="O7" i="7"/>
  <c r="O10" i="7" s="1"/>
  <c r="Q6" i="7"/>
  <c r="M15" i="7" l="1"/>
  <c r="K21" i="7"/>
  <c r="Q5" i="7"/>
  <c r="Y14" i="7"/>
  <c r="W8" i="7"/>
  <c r="U9" i="7"/>
  <c r="U4" i="7"/>
  <c r="S5" i="7"/>
  <c r="Q7" i="7"/>
  <c r="S6" i="7"/>
  <c r="O15" i="7" l="1"/>
  <c r="M21" i="7"/>
  <c r="Q10" i="7"/>
  <c r="W4" i="7"/>
  <c r="U5" i="7"/>
  <c r="Y8" i="7"/>
  <c r="W9" i="7"/>
  <c r="AA14" i="7"/>
  <c r="S7" i="7"/>
  <c r="S10" i="7" s="1"/>
  <c r="U6" i="7"/>
  <c r="Q15" i="7" l="1"/>
  <c r="O21" i="7"/>
  <c r="W6" i="7"/>
  <c r="U7" i="7"/>
  <c r="U10" i="7" s="1"/>
  <c r="Y4" i="7"/>
  <c r="W5" i="7"/>
  <c r="AC14" i="7"/>
  <c r="Y9" i="7"/>
  <c r="AA8" i="7"/>
  <c r="S15" i="7" l="1"/>
  <c r="Q21" i="7"/>
  <c r="AE14" i="7"/>
  <c r="W7" i="7"/>
  <c r="W10" i="7" s="1"/>
  <c r="Y6" i="7"/>
  <c r="AA4" i="7"/>
  <c r="Y5" i="7"/>
  <c r="AA9" i="7"/>
  <c r="AC8" i="7"/>
  <c r="U15" i="7" l="1"/>
  <c r="S21" i="7"/>
  <c r="AA6" i="7"/>
  <c r="Y7" i="7"/>
  <c r="Y10" i="7" s="1"/>
  <c r="AE8" i="7"/>
  <c r="AC9" i="7"/>
  <c r="AC4" i="7"/>
  <c r="AA5" i="7"/>
  <c r="AG14" i="7"/>
  <c r="W15" i="7" l="1"/>
  <c r="U21" i="7"/>
  <c r="AE4" i="7"/>
  <c r="AC5" i="7"/>
  <c r="AE9" i="7"/>
  <c r="AG8" i="7"/>
  <c r="AG9" i="7" s="1"/>
  <c r="AA7" i="7"/>
  <c r="AA10" i="7" s="1"/>
  <c r="AC6" i="7"/>
  <c r="Y15" i="7" l="1"/>
  <c r="W21" i="7"/>
  <c r="AE5" i="7"/>
  <c r="AG4" i="7"/>
  <c r="AC7" i="7"/>
  <c r="AC10" i="7" s="1"/>
  <c r="AE6" i="7"/>
  <c r="AA15" i="7" l="1"/>
  <c r="Y21" i="7"/>
  <c r="AE7" i="7"/>
  <c r="AE10" i="7" s="1"/>
  <c r="AG6" i="7"/>
  <c r="AG7" i="7" s="1"/>
  <c r="AG5" i="7"/>
  <c r="AC15" i="7" l="1"/>
  <c r="AA21" i="7"/>
  <c r="AG10" i="7"/>
  <c r="AE15" i="7" l="1"/>
  <c r="AC21" i="7"/>
  <c r="AG15" i="7" l="1"/>
  <c r="AG21" i="7" s="1"/>
  <c r="AE21" i="7"/>
  <c r="AS153" i="23" l="1"/>
  <c r="AK131" i="20" l="1"/>
  <c r="T787" i="20" s="1"/>
  <c r="AF787" i="20" s="1"/>
  <c r="AC887" i="3" l="1"/>
  <c r="E27" i="7" s="1"/>
  <c r="AE27" i="7" l="1"/>
  <c r="I27" i="7"/>
  <c r="AA27" i="7"/>
  <c r="O27" i="7"/>
  <c r="W27" i="7"/>
  <c r="Q27" i="7"/>
  <c r="S27" i="7"/>
  <c r="U27" i="7"/>
  <c r="Y27" i="7"/>
  <c r="AC27" i="7"/>
  <c r="K27" i="7"/>
  <c r="M27" i="7"/>
  <c r="AG27" i="7"/>
  <c r="G27" i="7"/>
  <c r="B80" i="11" l="1"/>
  <c r="B82" i="11" s="1"/>
  <c r="C80" i="11"/>
  <c r="B79" i="13"/>
  <c r="C81" i="13"/>
  <c r="F81" i="13"/>
  <c r="B79" i="4"/>
  <c r="C81" i="4"/>
  <c r="B81" i="13" s="1"/>
  <c r="D80" i="11" l="1"/>
  <c r="B81" i="4"/>
  <c r="C82" i="11"/>
  <c r="D82" i="11" s="1"/>
  <c r="E8" i="4"/>
  <c r="R4" i="4"/>
  <c r="R8" i="4" s="1"/>
  <c r="R12" i="4" s="1"/>
  <c r="K8" i="4"/>
  <c r="K12" i="4" s="1"/>
  <c r="E12" i="4" l="1"/>
  <c r="K63" i="4"/>
  <c r="K97" i="4" s="1"/>
  <c r="E46" i="13"/>
  <c r="E49" i="13"/>
  <c r="E30" i="13"/>
  <c r="F30" i="13"/>
  <c r="E31" i="13"/>
  <c r="F31" i="13"/>
  <c r="E32" i="13"/>
  <c r="F32" i="13"/>
  <c r="E33" i="13"/>
  <c r="F33" i="13"/>
  <c r="E34" i="13"/>
  <c r="F34" i="13"/>
  <c r="C38" i="13"/>
  <c r="F38" i="13" l="1"/>
  <c r="C54" i="13"/>
  <c r="C62" i="13"/>
  <c r="C63" i="13" s="1"/>
  <c r="C77" i="13"/>
  <c r="C96" i="13"/>
  <c r="C104" i="13"/>
  <c r="F54" i="13"/>
  <c r="F63" i="13" s="1"/>
  <c r="F97" i="13" s="1"/>
  <c r="F105" i="13" s="1"/>
  <c r="F107" i="13" s="1"/>
  <c r="F104" i="13"/>
  <c r="C97" i="13" l="1"/>
  <c r="C105" i="13" s="1"/>
  <c r="N10" i="23" l="1"/>
  <c r="AM564" i="3"/>
  <c r="AM565" i="3"/>
  <c r="AM576" i="3"/>
  <c r="AF637" i="3"/>
  <c r="E39" i="7" s="1"/>
  <c r="AO637" i="3"/>
  <c r="F30" i="4" s="1"/>
  <c r="F38" i="4" s="1"/>
  <c r="F63" i="4" s="1"/>
  <c r="F97" i="4" s="1"/>
  <c r="F105" i="4" s="1"/>
  <c r="AO642" i="3"/>
  <c r="K99" i="4" s="1"/>
  <c r="AO643" i="3"/>
  <c r="L79" i="4" s="1"/>
  <c r="AO644" i="3"/>
  <c r="AO650" i="3" s="1"/>
  <c r="E108" i="4" s="1"/>
  <c r="AE709" i="3"/>
  <c r="AC888" i="3"/>
  <c r="E28" i="7" s="1"/>
  <c r="AA915" i="3"/>
  <c r="AA916" i="3"/>
  <c r="AB50" i="15"/>
  <c r="B46" i="11"/>
  <c r="C84" i="11"/>
  <c r="C97" i="11"/>
  <c r="B45" i="13"/>
  <c r="E45" i="13"/>
  <c r="B46" i="13"/>
  <c r="B77" i="13"/>
  <c r="B83" i="13"/>
  <c r="B96" i="13"/>
  <c r="E37" i="4"/>
  <c r="R37" i="4" s="1"/>
  <c r="S37" i="4" s="1"/>
  <c r="M37" i="4"/>
  <c r="M38" i="4"/>
  <c r="B45" i="4"/>
  <c r="C45" i="4"/>
  <c r="S45" i="4"/>
  <c r="C46" i="4"/>
  <c r="B46" i="4" s="1"/>
  <c r="E46" i="4"/>
  <c r="R46" i="4"/>
  <c r="C49" i="4"/>
  <c r="E49" i="4" s="1"/>
  <c r="R49" i="4" s="1"/>
  <c r="S54" i="4"/>
  <c r="E54" i="13" s="1"/>
  <c r="C56" i="4"/>
  <c r="C62" i="4" s="1"/>
  <c r="E56" i="4"/>
  <c r="E62" i="4" s="1"/>
  <c r="R56" i="4"/>
  <c r="R62" i="4" s="1"/>
  <c r="M63" i="4"/>
  <c r="M97" i="4" s="1"/>
  <c r="M105" i="4" s="1"/>
  <c r="B75" i="4"/>
  <c r="C75" i="4"/>
  <c r="B76" i="11" s="1"/>
  <c r="B78" i="11" s="1"/>
  <c r="B77" i="4"/>
  <c r="C77" i="4"/>
  <c r="B83" i="4"/>
  <c r="C83" i="4"/>
  <c r="B84" i="11" s="1"/>
  <c r="E83" i="4"/>
  <c r="R83" i="4"/>
  <c r="C96" i="4"/>
  <c r="B96" i="4" s="1"/>
  <c r="E96" i="4"/>
  <c r="R96" i="4"/>
  <c r="C99" i="4"/>
  <c r="B99" i="13" s="1"/>
  <c r="F108" i="4"/>
  <c r="K108" i="4"/>
  <c r="L108" i="4"/>
  <c r="M108" i="4"/>
  <c r="G28" i="7" l="1"/>
  <c r="E34" i="7"/>
  <c r="E36" i="7" s="1"/>
  <c r="B62" i="4"/>
  <c r="B62" i="13"/>
  <c r="D84" i="11"/>
  <c r="B97" i="11"/>
  <c r="D97" i="11" s="1"/>
  <c r="K104" i="4"/>
  <c r="K105" i="4" s="1"/>
  <c r="E99" i="4"/>
  <c r="I39" i="7"/>
  <c r="I42" i="7" s="1"/>
  <c r="AG39" i="7"/>
  <c r="AG42" i="7" s="1"/>
  <c r="K39" i="7"/>
  <c r="K42" i="7" s="1"/>
  <c r="E42" i="7"/>
  <c r="M39" i="7"/>
  <c r="M42" i="7" s="1"/>
  <c r="O39" i="7"/>
  <c r="O42" i="7" s="1"/>
  <c r="Q39" i="7"/>
  <c r="Q42" i="7" s="1"/>
  <c r="S39" i="7"/>
  <c r="S42" i="7" s="1"/>
  <c r="AE39" i="7"/>
  <c r="AE42" i="7" s="1"/>
  <c r="U39" i="7"/>
  <c r="U42" i="7" s="1"/>
  <c r="W39" i="7"/>
  <c r="W42" i="7" s="1"/>
  <c r="Y39" i="7"/>
  <c r="Y42" i="7" s="1"/>
  <c r="G39" i="7"/>
  <c r="G42" i="7" s="1"/>
  <c r="AA39" i="7"/>
  <c r="AA42" i="7" s="1"/>
  <c r="AC39" i="7"/>
  <c r="AC42" i="7" s="1"/>
  <c r="L81" i="4"/>
  <c r="L97" i="4" s="1"/>
  <c r="L105" i="4" s="1"/>
  <c r="E79" i="4"/>
  <c r="C50" i="11"/>
  <c r="D50" i="11" s="1"/>
  <c r="B50" i="11"/>
  <c r="B56" i="4"/>
  <c r="C47" i="11"/>
  <c r="B47" i="11"/>
  <c r="B55" i="11" s="1"/>
  <c r="B99" i="4"/>
  <c r="B75" i="13"/>
  <c r="C100" i="11"/>
  <c r="C57" i="11"/>
  <c r="C46" i="11"/>
  <c r="AC884" i="3"/>
  <c r="C104" i="4"/>
  <c r="B100" i="11"/>
  <c r="B105" i="11" s="1"/>
  <c r="B57" i="11"/>
  <c r="B63" i="11" s="1"/>
  <c r="C54" i="4"/>
  <c r="H45" i="4"/>
  <c r="E75" i="4"/>
  <c r="B56" i="13"/>
  <c r="C76" i="11"/>
  <c r="B49" i="13"/>
  <c r="AO649" i="3"/>
  <c r="B49" i="4"/>
  <c r="R75" i="4" l="1"/>
  <c r="R77" i="4" s="1"/>
  <c r="E77" i="4"/>
  <c r="B54" i="13"/>
  <c r="B54" i="4"/>
  <c r="D100" i="11"/>
  <c r="C105" i="11"/>
  <c r="D105" i="11" s="1"/>
  <c r="D76" i="11"/>
  <c r="C78" i="11"/>
  <c r="D78" i="11" s="1"/>
  <c r="H30" i="4"/>
  <c r="H38" i="4" s="1"/>
  <c r="H54" i="4"/>
  <c r="E81" i="4"/>
  <c r="R79" i="4"/>
  <c r="R99" i="4"/>
  <c r="E104" i="4"/>
  <c r="B104" i="4"/>
  <c r="N150" i="23" s="1"/>
  <c r="B104" i="13"/>
  <c r="C55" i="11"/>
  <c r="D55" i="11" s="1"/>
  <c r="D46" i="11"/>
  <c r="E48" i="7"/>
  <c r="E44" i="7"/>
  <c r="D47" i="11"/>
  <c r="E45" i="4"/>
  <c r="AB48" i="15"/>
  <c r="AO651" i="3"/>
  <c r="D57" i="11"/>
  <c r="C63" i="11"/>
  <c r="D63" i="11" s="1"/>
  <c r="I28" i="7"/>
  <c r="G34" i="7"/>
  <c r="G36" i="7" s="1"/>
  <c r="R81" i="4" l="1"/>
  <c r="S79" i="4"/>
  <c r="K28" i="7"/>
  <c r="I34" i="7"/>
  <c r="I36" i="7" s="1"/>
  <c r="R45" i="4"/>
  <c r="R54" i="4" s="1"/>
  <c r="E54" i="4"/>
  <c r="E59" i="7"/>
  <c r="E46" i="7"/>
  <c r="E47" i="7"/>
  <c r="H63" i="4"/>
  <c r="H97" i="4" s="1"/>
  <c r="H105" i="4" s="1"/>
  <c r="G48" i="7"/>
  <c r="G44" i="7"/>
  <c r="N151" i="23"/>
  <c r="N161" i="23"/>
  <c r="R104" i="4"/>
  <c r="S99" i="4"/>
  <c r="G47" i="7" l="1"/>
  <c r="G59" i="7"/>
  <c r="G46" i="7"/>
  <c r="I48" i="7"/>
  <c r="I44" i="7"/>
  <c r="M28" i="7"/>
  <c r="K34" i="7"/>
  <c r="K36" i="7" s="1"/>
  <c r="E99" i="13"/>
  <c r="S104" i="4"/>
  <c r="E104" i="13" s="1"/>
  <c r="S81" i="4"/>
  <c r="E81" i="13" s="1"/>
  <c r="E79" i="13"/>
  <c r="E66" i="7"/>
  <c r="E61" i="7"/>
  <c r="E65" i="7"/>
  <c r="E69" i="7" l="1"/>
  <c r="E71" i="7" s="1"/>
  <c r="O28" i="7"/>
  <c r="M34" i="7"/>
  <c r="M36" i="7" s="1"/>
  <c r="G61" i="7"/>
  <c r="G65" i="7" s="1"/>
  <c r="K48" i="7"/>
  <c r="K44" i="7"/>
  <c r="I47" i="7"/>
  <c r="I59" i="7"/>
  <c r="I46" i="7"/>
  <c r="I61" i="7" l="1"/>
  <c r="I65" i="7" s="1"/>
  <c r="G66" i="7"/>
  <c r="G69" i="7" s="1"/>
  <c r="G71" i="7" s="1"/>
  <c r="Q28" i="7"/>
  <c r="O34" i="7"/>
  <c r="O36" i="7" s="1"/>
  <c r="K47" i="7"/>
  <c r="K59" i="7"/>
  <c r="K46" i="7"/>
  <c r="M48" i="7"/>
  <c r="M44" i="7"/>
  <c r="O48" i="7" l="1"/>
  <c r="O44" i="7"/>
  <c r="K61" i="7"/>
  <c r="K65" i="7" s="1"/>
  <c r="S28" i="7"/>
  <c r="Q34" i="7"/>
  <c r="Q36" i="7" s="1"/>
  <c r="I66" i="7"/>
  <c r="I69" i="7" s="1"/>
  <c r="I71" i="7" s="1"/>
  <c r="M47" i="7"/>
  <c r="M46" i="7"/>
  <c r="M59" i="7"/>
  <c r="Q48" i="7" l="1"/>
  <c r="Q44" i="7"/>
  <c r="O46" i="7"/>
  <c r="O47" i="7"/>
  <c r="O59" i="7"/>
  <c r="S34" i="7"/>
  <c r="S36" i="7" s="1"/>
  <c r="U28" i="7"/>
  <c r="K66" i="7"/>
  <c r="K69" i="7" s="1"/>
  <c r="K71" i="7" s="1"/>
  <c r="M61" i="7"/>
  <c r="M66" i="7" s="1"/>
  <c r="M65" i="7" l="1"/>
  <c r="M69" i="7" s="1"/>
  <c r="M71" i="7" s="1"/>
  <c r="U34" i="7"/>
  <c r="U36" i="7" s="1"/>
  <c r="W28" i="7"/>
  <c r="O61" i="7"/>
  <c r="S44" i="7"/>
  <c r="S48" i="7"/>
  <c r="Q46" i="7"/>
  <c r="Q47" i="7"/>
  <c r="Q59" i="7"/>
  <c r="O66" i="7" l="1"/>
  <c r="Y28" i="7"/>
  <c r="W34" i="7"/>
  <c r="W36" i="7" s="1"/>
  <c r="Q61" i="7"/>
  <c r="Q65" i="7" s="1"/>
  <c r="S46" i="7"/>
  <c r="S47" i="7"/>
  <c r="S59" i="7"/>
  <c r="O65" i="7"/>
  <c r="O69" i="7" s="1"/>
  <c r="O71" i="7" s="1"/>
  <c r="U44" i="7"/>
  <c r="U48" i="7"/>
  <c r="Q66" i="7" l="1"/>
  <c r="Q69" i="7" s="1"/>
  <c r="Q71" i="7" s="1"/>
  <c r="S61" i="7"/>
  <c r="W44" i="7"/>
  <c r="W48" i="7"/>
  <c r="AA28" i="7"/>
  <c r="Y34" i="7"/>
  <c r="Y36" i="7" s="1"/>
  <c r="U59" i="7"/>
  <c r="U46" i="7"/>
  <c r="U47" i="7"/>
  <c r="U61" i="7" l="1"/>
  <c r="U66" i="7" s="1"/>
  <c r="AC28" i="7"/>
  <c r="AA34" i="7"/>
  <c r="AA36" i="7" s="1"/>
  <c r="S65" i="7"/>
  <c r="Y44" i="7"/>
  <c r="Y48" i="7"/>
  <c r="W59" i="7"/>
  <c r="W46" i="7"/>
  <c r="W47" i="7"/>
  <c r="S66" i="7"/>
  <c r="S69" i="7" l="1"/>
  <c r="S71" i="7" s="1"/>
  <c r="Y59" i="7"/>
  <c r="Y46" i="7"/>
  <c r="Y47" i="7"/>
  <c r="AE28" i="7"/>
  <c r="AC34" i="7"/>
  <c r="AC36" i="7" s="1"/>
  <c r="U65" i="7"/>
  <c r="U69" i="7" s="1"/>
  <c r="U71" i="7" s="1"/>
  <c r="AA48" i="7"/>
  <c r="AA44" i="7"/>
  <c r="W61" i="7"/>
  <c r="W66" i="7" s="1"/>
  <c r="W65" i="7" l="1"/>
  <c r="W69" i="7" s="1"/>
  <c r="W71" i="7" s="1"/>
  <c r="AA59" i="7"/>
  <c r="AA46" i="7"/>
  <c r="AA47" i="7"/>
  <c r="AC48" i="7"/>
  <c r="AC44" i="7"/>
  <c r="AG28" i="7"/>
  <c r="AG34" i="7" s="1"/>
  <c r="AG36" i="7" s="1"/>
  <c r="AE34" i="7"/>
  <c r="AE36" i="7" s="1"/>
  <c r="Y61" i="7"/>
  <c r="Y65" i="7" s="1"/>
  <c r="AG48" i="7" l="1"/>
  <c r="AG44" i="7"/>
  <c r="AE48" i="7"/>
  <c r="AE44" i="7"/>
  <c r="AA61" i="7"/>
  <c r="Y66" i="7"/>
  <c r="Y69" i="7" s="1"/>
  <c r="Y71" i="7" s="1"/>
  <c r="AC59" i="7"/>
  <c r="AC46" i="7"/>
  <c r="AC47" i="7"/>
  <c r="AC61" i="7" l="1"/>
  <c r="AC66" i="7" s="1"/>
  <c r="AA66" i="7"/>
  <c r="AA65" i="7"/>
  <c r="AA69" i="7" s="1"/>
  <c r="AA71" i="7" s="1"/>
  <c r="AE59" i="7"/>
  <c r="AE47" i="7"/>
  <c r="AE46" i="7"/>
  <c r="AG47" i="7"/>
  <c r="AG59" i="7"/>
  <c r="AG46" i="7"/>
  <c r="AE61" i="7" l="1"/>
  <c r="AG61" i="7" s="1"/>
  <c r="AC65" i="7"/>
  <c r="AC69" i="7" s="1"/>
  <c r="AC71" i="7" s="1"/>
  <c r="AG65" i="7" l="1"/>
  <c r="AG66" i="7"/>
  <c r="AE66" i="7"/>
  <c r="AE65" i="7"/>
  <c r="AE69" i="7" l="1"/>
  <c r="AE71" i="7" s="1"/>
  <c r="AG69" i="7"/>
  <c r="AG71" i="7" s="1"/>
  <c r="P204" i="3"/>
  <c r="M27" i="3"/>
  <c r="S32" i="4"/>
  <c r="R32" i="4"/>
  <c r="E32" i="4"/>
  <c r="AB76" i="15"/>
  <c r="AB59" i="15"/>
  <c r="AB55" i="15"/>
  <c r="AB54" i="15"/>
  <c r="B63" i="13"/>
  <c r="E105" i="13"/>
  <c r="E105" i="4"/>
  <c r="E97" i="4"/>
  <c r="E63" i="4"/>
  <c r="E38" i="4"/>
  <c r="E34" i="4"/>
  <c r="R34" i="4"/>
  <c r="S34" i="4"/>
  <c r="E97" i="13"/>
  <c r="B106" i="11"/>
  <c r="B98" i="11"/>
  <c r="B64" i="11"/>
  <c r="B39" i="11"/>
  <c r="B31" i="11"/>
  <c r="D34" i="11"/>
  <c r="C34" i="11"/>
  <c r="B63" i="4"/>
  <c r="B38" i="4"/>
  <c r="Y28" i="15"/>
  <c r="Y26" i="15"/>
  <c r="Y23" i="15"/>
  <c r="Y11" i="15"/>
  <c r="E18" i="21"/>
  <c r="E7" i="21"/>
  <c r="E3" i="21"/>
  <c r="S31" i="4"/>
  <c r="R31" i="4"/>
  <c r="E31" i="4"/>
  <c r="E63" i="13"/>
  <c r="R105" i="4"/>
  <c r="R38" i="4"/>
  <c r="R63" i="4"/>
  <c r="R97" i="4"/>
  <c r="D39" i="11"/>
  <c r="T26" i="15"/>
  <c r="T28" i="15"/>
  <c r="T29" i="15"/>
  <c r="B32" i="11"/>
  <c r="B31" i="4"/>
  <c r="B31" i="13"/>
  <c r="S33" i="4"/>
  <c r="R33" i="4"/>
  <c r="E33" i="4"/>
  <c r="C32" i="11"/>
  <c r="D32" i="11"/>
  <c r="AF766" i="20"/>
  <c r="AF768" i="20"/>
  <c r="AK774" i="20"/>
  <c r="T799" i="20"/>
  <c r="AF799" i="20"/>
  <c r="D106" i="11"/>
  <c r="C106" i="11"/>
  <c r="P203" i="3"/>
  <c r="M26" i="3"/>
  <c r="D35" i="11"/>
  <c r="C35" i="11"/>
  <c r="C98" i="11"/>
  <c r="D98" i="11"/>
  <c r="B38" i="13"/>
  <c r="AD40" i="15"/>
  <c r="AD38" i="15"/>
  <c r="AC455" i="3"/>
  <c r="AC453" i="3"/>
  <c r="AF801" i="20"/>
  <c r="AB249" i="20"/>
  <c r="AG251" i="20"/>
  <c r="AG253" i="20"/>
  <c r="AK256" i="20"/>
  <c r="T792" i="20"/>
  <c r="AF792" i="20"/>
  <c r="Y38" i="15"/>
  <c r="Y40" i="15"/>
  <c r="Y41" i="15"/>
  <c r="AB56" i="15"/>
  <c r="AB57" i="15"/>
  <c r="C39" i="11"/>
  <c r="C64" i="11"/>
  <c r="D64" i="11"/>
  <c r="J81" i="15"/>
  <c r="B105" i="4"/>
  <c r="AB47" i="15"/>
  <c r="AB49" i="15"/>
  <c r="AB80" i="15"/>
  <c r="B34" i="4"/>
  <c r="B35" i="11"/>
  <c r="B34" i="13"/>
  <c r="B97" i="13"/>
  <c r="B97" i="4"/>
  <c r="E38" i="13"/>
  <c r="D33" i="11"/>
  <c r="C33" i="11"/>
  <c r="B32" i="4"/>
  <c r="B33" i="11"/>
  <c r="B32" i="13"/>
  <c r="B30" i="4"/>
  <c r="B30" i="13"/>
  <c r="AG252" i="20"/>
  <c r="AC454" i="3"/>
  <c r="C38" i="4"/>
  <c r="C63" i="4"/>
  <c r="C97" i="4"/>
  <c r="C105" i="4"/>
  <c r="B105" i="13"/>
  <c r="B34" i="11"/>
  <c r="B33" i="4"/>
  <c r="C31" i="4"/>
  <c r="C32" i="4"/>
  <c r="C33" i="4"/>
  <c r="B33" i="13"/>
  <c r="E30" i="4"/>
  <c r="R30" i="4"/>
  <c r="S30" i="4"/>
  <c r="S38" i="4"/>
  <c r="S63" i="4"/>
  <c r="S97" i="4"/>
  <c r="S105" i="4"/>
  <c r="S107" i="4"/>
  <c r="E107" i="13"/>
  <c r="T11" i="15"/>
  <c r="T23" i="15"/>
  <c r="Y64" i="15"/>
  <c r="Y68" i="15"/>
  <c r="AB77" i="15"/>
  <c r="AB78" i="15"/>
  <c r="C34" i="4"/>
  <c r="C30" i="4"/>
  <c r="C31" i="11"/>
  <c r="D31"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<sst xmlns="http://schemas.openxmlformats.org/spreadsheetml/2006/main" count="5009" uniqueCount="2619">
  <si>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</si>
  <si>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</si>
  <si>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</si>
  <si>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</si>
  <si>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</si>
  <si>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</si>
  <si>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</si>
  <si>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</si>
  <si>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</si>
  <si>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</si>
  <si>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</si>
  <si>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</si>
  <si>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</si>
  <si>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</si>
  <si>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</si>
  <si>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</si>
  <si>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</si>
  <si>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</si>
  <si>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</si>
  <si>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</si>
  <si>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</si>
  <si>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</si>
  <si>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</si>
  <si>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</si>
  <si>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</si>
  <si>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</si>
  <si>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</si>
  <si>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</si>
  <si>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</si>
  <si>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</si>
  <si>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</si>
  <si>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</si>
  <si>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</si>
  <si>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</si>
  <si>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</si>
  <si>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</si>
  <si>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</si>
  <si>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</si>
  <si>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</si>
  <si>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</si>
  <si>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</si>
  <si>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</si>
  <si>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</si>
  <si>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</si>
  <si>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</si>
  <si>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</si>
  <si>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</si>
  <si>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</si>
  <si>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</si>
  <si>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</si>
  <si>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</si>
  <si>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</si>
  <si>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</si>
  <si>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</si>
  <si>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</si>
  <si>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</si>
  <si>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</si>
  <si>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</si>
  <si>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</si>
  <si>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</si>
  <si>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</si>
  <si>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</si>
  <si>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</si>
  <si>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</si>
  <si>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</si>
  <si>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</si>
  <si>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</si>
  <si>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</si>
  <si>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</si>
  <si>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</si>
  <si>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</si>
  <si>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</si>
  <si>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</si>
  <si>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</si>
  <si>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</si>
  <si>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</si>
  <si>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</si>
  <si>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</si>
  <si>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</si>
  <si>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</si>
  <si>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</si>
  <si>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</si>
  <si>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</si>
  <si>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</si>
  <si>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</si>
  <si>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</si>
  <si>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</si>
  <si>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</si>
  <si>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</si>
  <si>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</si>
  <si>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</si>
  <si>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</si>
  <si>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</si>
  <si>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</si>
  <si>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</si>
  <si>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</si>
  <si>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</si>
  <si>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</si>
  <si>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</si>
  <si>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</si>
  <si>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</si>
  <si>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</si>
  <si>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</si>
  <si>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</si>
  <si>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</si>
  <si>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</si>
  <si>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</si>
  <si>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</si>
  <si>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</si>
  <si>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</si>
  <si>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</si>
  <si>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</si>
  <si>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</si>
  <si>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</si>
  <si>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</si>
  <si>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</si>
  <si>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</si>
  <si>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</si>
  <si>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</si>
  <si>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</si>
  <si>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</si>
  <si>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</si>
  <si>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</si>
  <si>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</si>
  <si>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</si>
  <si>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</si>
  <si>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</si>
  <si>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</si>
  <si>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</si>
  <si>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</si>
  <si>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</si>
  <si>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</si>
  <si>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</si>
  <si>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</si>
  <si>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</si>
  <si>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</si>
  <si>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</si>
  <si>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</si>
  <si>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</si>
  <si>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</si>
  <si>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</si>
  <si>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</si>
  <si>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</si>
  <si>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</si>
  <si>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</si>
  <si>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</si>
  <si>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</si>
  <si>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</si>
  <si>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</si>
  <si>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</si>
  <si>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</si>
  <si>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</si>
  <si>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</si>
  <si>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</si>
  <si>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</si>
  <si>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</si>
  <si>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</si>
  <si>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</si>
  <si>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</si>
  <si>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</si>
  <si>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</si>
  <si>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</si>
  <si>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</si>
  <si>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</si>
  <si>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</si>
  <si>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</si>
  <si>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</si>
  <si>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</si>
  <si>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</si>
  <si>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</si>
  <si>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</si>
  <si>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</si>
  <si>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</si>
  <si>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</si>
  <si>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</si>
  <si>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</si>
  <si>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</si>
  <si>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</si>
  <si>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</si>
  <si>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</si>
  <si>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</si>
  <si>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</si>
  <si>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</si>
  <si>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</si>
  <si>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</si>
  <si>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</si>
  <si>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</si>
  <si>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</si>
  <si>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</si>
  <si>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</si>
  <si>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</si>
  <si>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</si>
  <si>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</si>
  <si>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</si>
  <si>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</si>
  <si>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</si>
  <si>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</si>
  <si>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</si>
  <si>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</si>
  <si>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</si>
  <si>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</si>
  <si>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</si>
  <si>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</si>
  <si>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</si>
  <si>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</si>
  <si>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</si>
  <si>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</si>
  <si>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</si>
  <si>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</si>
  <si>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</si>
  <si>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</si>
  <si>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</si>
  <si>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</si>
  <si>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</si>
  <si>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</si>
  <si>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</si>
  <si>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</si>
  <si>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</si>
  <si>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</si>
  <si>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</si>
  <si>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</si>
  <si>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</si>
  <si>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</si>
  <si>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</si>
  <si>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</si>
  <si>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</si>
  <si>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</si>
  <si>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</si>
  <si>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</si>
  <si>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</si>
  <si>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</si>
  <si>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</si>
  <si>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</si>
  <si>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</si>
  <si>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</si>
  <si>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</si>
  <si>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</si>
  <si>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</si>
  <si>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</si>
  <si>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</si>
  <si>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</si>
  <si>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</si>
  <si>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</si>
  <si>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</si>
  <si>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</si>
  <si>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</si>
  <si>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</si>
  <si>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</si>
  <si>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</si>
  <si>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</si>
  <si>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</si>
  <si>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</si>
  <si>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</si>
  <si>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</si>
  <si>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</si>
  <si>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</si>
  <si>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</si>
  <si>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</si>
  <si>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</si>
  <si>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</si>
  <si>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</si>
  <si>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</si>
  <si>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</si>
  <si>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</si>
  <si>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</si>
  <si>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</si>
  <si>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</si>
  <si>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</si>
  <si>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</si>
  <si>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</si>
  <si>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</si>
  <si>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</si>
  <si>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</si>
  <si>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</si>
  <si>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</si>
  <si>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</si>
  <si>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</si>
  <si>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</si>
  <si>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</si>
  <si>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</si>
  <si>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</si>
  <si>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</si>
  <si>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</si>
  <si>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</si>
  <si>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</si>
  <si>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</si>
  <si>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</si>
  <si>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</si>
  <si>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</si>
  <si>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</si>
  <si>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</si>
  <si>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</si>
  <si>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</si>
  <si>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</si>
  <si>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</si>
  <si>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</si>
  <si>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</si>
  <si>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</si>
  <si>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</si>
  <si>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</si>
  <si>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</si>
  <si>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</si>
  <si>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</si>
  <si>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</si>
  <si>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</si>
  <si>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</si>
  <si>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</si>
  <si>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</si>
  <si>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</si>
  <si>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</si>
  <si>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</si>
  <si>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</si>
  <si>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</si>
  <si>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</si>
  <si>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</si>
  <si>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</si>
  <si>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</si>
  <si>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</si>
  <si>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</si>
  <si>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</si>
  <si>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</si>
  <si>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</si>
  <si>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</si>
  <si>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</si>
  <si>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</si>
  <si>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</si>
  <si>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</si>
  <si>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</si>
  <si>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</si>
  <si>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</si>
  <si>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</si>
  <si>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</si>
  <si>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</si>
  <si>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</si>
  <si>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</si>
  <si>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</si>
  <si>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</si>
  <si>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</si>
  <si>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</si>
  <si>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</si>
  <si>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</si>
  <si>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</si>
  <si>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</si>
  <si>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</si>
  <si>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</si>
  <si>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</si>
  <si>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</si>
  <si>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</si>
  <si>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</si>
  <si>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</si>
  <si>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</si>
  <si>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</si>
  <si>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</si>
  <si>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</si>
  <si>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</si>
  <si>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</si>
  <si>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</si>
  <si>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</si>
  <si>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</si>
  <si>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</si>
  <si>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</si>
  <si>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</si>
  <si>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</si>
  <si>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</si>
  <si>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</si>
  <si>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</si>
  <si>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</si>
  <si>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</si>
  <si>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</si>
  <si>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</si>
  <si>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</si>
  <si>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</si>
  <si>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</si>
  <si>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</si>
  <si>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</si>
  <si>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</si>
  <si>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</si>
  <si>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</si>
  <si>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</si>
  <si>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</si>
  <si>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</si>
  <si>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</si>
  <si>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</si>
  <si>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</si>
  <si>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</si>
  <si>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</si>
  <si>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</si>
  <si>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</si>
  <si>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</si>
  <si>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</si>
  <si>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</si>
  <si>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</si>
  <si>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</si>
  <si>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</si>
  <si>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</si>
  <si>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</si>
  <si>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</si>
  <si>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</si>
  <si>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</si>
  <si>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</si>
  <si>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</si>
  <si>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</si>
  <si>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</si>
  <si>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</si>
  <si>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</si>
  <si>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</si>
  <si>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</si>
  <si>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</si>
  <si>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</si>
  <si>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</si>
  <si>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</si>
  <si>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</si>
  <si>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</si>
  <si>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</si>
  <si>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</si>
  <si>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</si>
  <si>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</si>
  <si>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</si>
  <si>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</si>
  <si>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</si>
  <si>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</si>
  <si>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</si>
  <si>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</si>
  <si>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</si>
  <si>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</si>
  <si>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</si>
  <si>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</si>
  <si>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</si>
  <si>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</si>
  <si>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</si>
  <si>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</si>
  <si>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</si>
  <si>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</si>
  <si>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</si>
  <si>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</si>
  <si>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</si>
  <si>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</si>
  <si>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</si>
  <si>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</si>
  <si>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</si>
  <si>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</si>
  <si>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</si>
  <si>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</si>
  <si>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</si>
  <si>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</si>
  <si>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</si>
  <si>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</si>
  <si>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</si>
  <si>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</si>
  <si>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</si>
  <si>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</si>
  <si>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</si>
  <si>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</si>
  <si>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</si>
  <si>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</si>
  <si>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</si>
  <si>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</si>
  <si>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</si>
  <si>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</si>
  <si>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</si>
  <si>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</si>
  <si>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</si>
  <si>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</si>
  <si>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</si>
  <si>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</si>
  <si>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</si>
  <si>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</si>
  <si>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</si>
  <si>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</si>
  <si>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</si>
  <si>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</si>
  <si>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</si>
  <si>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</si>
  <si>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</si>
  <si>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</si>
  <si>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</si>
  <si>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</si>
  <si>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</si>
  <si>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</si>
  <si>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</si>
  <si>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</si>
  <si>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</si>
  <si>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</si>
  <si>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</si>
  <si>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</si>
  <si>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</si>
  <si>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</si>
  <si>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</si>
  <si>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</si>
  <si>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</si>
  <si>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</si>
  <si>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</si>
  <si>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</si>
  <si>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</si>
  <si>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</si>
  <si>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</si>
  <si>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</si>
  <si>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</si>
  <si>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</si>
  <si>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</si>
  <si>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</si>
  <si>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</si>
  <si>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</si>
  <si>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</si>
  <si>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</si>
  <si>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</si>
  <si>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</si>
  <si>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</si>
  <si>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</si>
  <si>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</si>
  <si>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</si>
  <si>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</si>
  <si>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</si>
  <si>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</si>
  <si>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</si>
  <si>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</si>
  <si>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</si>
  <si>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</si>
  <si>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</si>
  <si>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</si>
  <si>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</si>
  <si>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</si>
  <si>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</si>
  <si>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</si>
  <si>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</si>
  <si>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</si>
  <si>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</si>
  <si>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</si>
  <si>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</si>
  <si>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</si>
  <si>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</si>
  <si>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</si>
  <si>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</si>
  <si>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</si>
  <si>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</si>
  <si>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</si>
  <si>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</si>
  <si>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</si>
  <si>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</si>
  <si>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</si>
  <si>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</si>
  <si>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</si>
  <si>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</si>
  <si>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</si>
  <si>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</si>
  <si>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</si>
  <si>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</si>
  <si>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</si>
  <si>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</si>
  <si>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</si>
  <si>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</si>
  <si>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</si>
  <si>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</si>
  <si>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</si>
  <si>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</si>
  <si>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</si>
  <si>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</si>
  <si>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</si>
  <si>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</si>
  <si>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</si>
  <si>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</si>
  <si>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</si>
  <si>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</si>
  <si>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</si>
  <si>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</si>
  <si>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</si>
  <si>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</si>
  <si>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</si>
  <si>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</si>
  <si>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</si>
  <si>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</si>
  <si>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</si>
  <si>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</si>
  <si>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</si>
  <si>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</si>
  <si>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</si>
  <si>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</si>
  <si>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</si>
  <si>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</si>
  <si>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</si>
  <si>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</si>
  <si>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</si>
  <si>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</si>
  <si>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</si>
  <si>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</si>
  <si>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</si>
  <si>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</si>
  <si>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</si>
  <si>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</si>
  <si>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</si>
  <si>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</si>
  <si>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</si>
  <si>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</si>
  <si>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</si>
  <si>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</si>
  <si>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</si>
  <si>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</si>
  <si>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</si>
  <si>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</si>
  <si>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</si>
  <si>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</si>
  <si>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</si>
  <si>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</si>
  <si>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</si>
  <si>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</si>
  <si>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</si>
  <si>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</si>
  <si>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</si>
  <si>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</si>
  <si>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</si>
  <si>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</si>
  <si>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</si>
  <si>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</si>
  <si>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</si>
  <si>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</si>
  <si>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</si>
  <si>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</si>
  <si>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</si>
  <si>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</si>
  <si>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</si>
  <si>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</si>
  <si>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</si>
  <si>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</si>
  <si>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</si>
  <si>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</si>
  <si>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</si>
  <si>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</si>
  <si>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</si>
  <si>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</si>
  <si>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</si>
  <si>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</si>
  <si>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</si>
  <si>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</si>
  <si>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</si>
  <si>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</si>
  <si>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</si>
  <si>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</si>
  <si>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</si>
  <si>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</si>
  <si>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</si>
  <si>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</si>
  <si>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</si>
  <si>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</si>
  <si>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</si>
  <si>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</si>
  <si>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</si>
  <si>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</si>
  <si>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</si>
  <si>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</si>
  <si>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</si>
  <si>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</si>
  <si>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</si>
  <si>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</si>
  <si>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</si>
  <si>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</si>
  <si>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</si>
  <si>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</si>
  <si>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</si>
  <si>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</si>
  <si>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</si>
  <si>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</si>
  <si>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</si>
  <si>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</si>
  <si>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</si>
  <si>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</si>
  <si>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</si>
  <si>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</si>
  <si>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</si>
  <si>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</si>
  <si>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</si>
  <si>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</si>
  <si>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</si>
  <si>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</si>
  <si>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</si>
  <si>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</si>
  <si>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</si>
  <si>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</si>
  <si>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</si>
  <si>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</si>
  <si>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</si>
  <si>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</si>
  <si>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</si>
  <si>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</si>
  <si>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</si>
  <si>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</si>
  <si>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</si>
  <si>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</si>
  <si>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</si>
  <si>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</si>
  <si>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</si>
  <si>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</si>
  <si>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</si>
  <si>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</si>
  <si>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</si>
  <si>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</si>
  <si>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</si>
  <si>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</si>
  <si>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</si>
  <si>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</si>
  <si>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</si>
  <si>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</si>
  <si>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</si>
  <si>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</si>
  <si>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</si>
  <si>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</si>
  <si>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</si>
  <si>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</si>
  <si>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</si>
  <si>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</si>
  <si>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</si>
  <si>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</si>
  <si>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</si>
  <si>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</si>
  <si>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</si>
  <si>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</si>
  <si>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</si>
  <si>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</si>
  <si>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</si>
  <si>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</si>
  <si>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</si>
  <si>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</si>
  <si>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</si>
  <si>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</si>
  <si>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</si>
  <si>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</si>
  <si>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</si>
  <si>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</si>
  <si>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</si>
  <si>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</si>
  <si>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</si>
  <si>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</si>
  <si>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</si>
  <si>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</si>
  <si>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</si>
  <si>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</si>
  <si>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</si>
  <si>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</si>
  <si>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</si>
  <si>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</si>
  <si>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</si>
  <si>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</si>
  <si>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</si>
  <si>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</si>
  <si>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</si>
  <si>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</si>
  <si>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</si>
  <si>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</si>
  <si>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</si>
  <si>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</si>
  <si>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</si>
  <si>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</si>
  <si>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</si>
  <si>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</si>
  <si>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</si>
  <si>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</si>
  <si>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</si>
  <si>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</si>
  <si>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</si>
  <si>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</si>
  <si>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</si>
  <si>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</si>
  <si>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</si>
  <si>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</si>
  <si>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</si>
  <si>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</si>
  <si>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</si>
  <si>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</si>
  <si>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</si>
  <si>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</si>
  <si>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</si>
  <si>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</si>
  <si>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</si>
  <si>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</si>
  <si>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</si>
  <si>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</si>
  <si>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</si>
  <si>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</si>
  <si>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</si>
  <si>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</si>
  <si>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</si>
  <si>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</si>
  <si>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</si>
  <si>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</si>
  <si>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</si>
  <si>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</si>
  <si>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</si>
  <si>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</si>
  <si>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</si>
  <si>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</si>
  <si>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</si>
  <si>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</si>
  <si>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</si>
  <si>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</si>
  <si>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</si>
  <si>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</si>
  <si>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</si>
  <si>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</si>
  <si>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</si>
  <si>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</si>
  <si>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</si>
  <si>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</si>
  <si>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</si>
  <si>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</si>
  <si>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</si>
  <si>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</si>
  <si>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</si>
  <si>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</si>
  <si>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</si>
  <si>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</si>
  <si>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</si>
  <si>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</si>
  <si>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</si>
  <si>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</si>
  <si>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</si>
  <si>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</si>
  <si>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</si>
  <si>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</si>
  <si>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</si>
  <si>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</si>
  <si>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</si>
  <si>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</si>
  <si>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</si>
  <si>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</si>
  <si>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</si>
  <si>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</si>
  <si>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</si>
  <si>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</si>
  <si>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</si>
  <si>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</si>
  <si>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</si>
  <si>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</si>
  <si>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</si>
  <si>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</si>
  <si>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</si>
  <si>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</si>
  <si>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</si>
  <si>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</si>
  <si>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</si>
  <si>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</si>
  <si>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</si>
  <si>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</si>
  <si>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</si>
  <si>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</si>
  <si>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</si>
  <si>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</si>
  <si>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</si>
  <si>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</si>
  <si>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</si>
  <si>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</si>
  <si>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</si>
  <si>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</si>
  <si>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</si>
  <si>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</si>
  <si>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</si>
  <si>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</si>
  <si>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</si>
  <si>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</si>
  <si>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</si>
  <si>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</si>
  <si>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</si>
  <si>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</si>
  <si>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</si>
  <si>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</si>
  <si>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</si>
  <si>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</si>
  <si>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</si>
  <si>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</si>
  <si>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</si>
  <si>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</si>
  <si>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</si>
  <si>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</si>
  <si>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</si>
  <si>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</si>
  <si>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</si>
  <si>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</si>
  <si>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</si>
  <si>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</si>
  <si>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</si>
  <si>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</si>
  <si>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</si>
  <si>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</si>
  <si>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</si>
  <si>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</si>
  <si>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</si>
  <si>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</si>
  <si>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</si>
  <si>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</si>
  <si>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</si>
  <si>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</si>
  <si>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</si>
  <si>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</si>
  <si>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</si>
  <si>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</si>
  <si>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</si>
  <si>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</si>
  <si>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</si>
  <si>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</si>
  <si>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</si>
  <si>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</si>
  <si>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</si>
  <si>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</si>
  <si>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</si>
  <si>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</si>
  <si>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</si>
  <si>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</si>
  <si>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</si>
  <si>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</si>
  <si>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</si>
  <si>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</si>
  <si>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</si>
  <si>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</si>
  <si>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</si>
  <si>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</si>
  <si>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</si>
  <si>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</si>
  <si>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</si>
  <si>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</si>
  <si>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</si>
  <si>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</si>
  <si>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</si>
  <si>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</si>
  <si>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</si>
  <si>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</si>
  <si>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</si>
  <si>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</si>
  <si>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</si>
  <si>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</si>
  <si>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</si>
  <si>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</si>
  <si>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</si>
  <si>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</si>
  <si>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</si>
  <si>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</si>
  <si>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</si>
  <si>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</si>
  <si>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</si>
  <si>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</si>
  <si>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</si>
  <si>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</si>
  <si>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</si>
  <si>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</si>
  <si>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</si>
  <si>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</si>
  <si>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</si>
  <si>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</si>
  <si>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</si>
  <si>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</si>
  <si>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</si>
  <si>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</si>
  <si>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</si>
  <si>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</si>
  <si>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</si>
  <si>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</si>
  <si>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</si>
  <si>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</si>
  <si>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</si>
  <si>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</si>
  <si>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</si>
  <si>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</si>
  <si>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</si>
  <si>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</si>
  <si>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</si>
  <si>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</si>
  <si>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</si>
  <si>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</si>
  <si>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</si>
  <si>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</si>
  <si>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</si>
  <si>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</si>
  <si>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</si>
  <si>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</si>
  <si>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</si>
  <si>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</si>
  <si>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</si>
  <si>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</si>
  <si>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</si>
  <si>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</si>
  <si>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</si>
  <si>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</si>
  <si>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</si>
  <si>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</si>
  <si>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</si>
  <si>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</si>
  <si>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</si>
  <si>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</si>
  <si>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</si>
  <si>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</si>
  <si>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</si>
  <si>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</si>
  <si>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</si>
  <si>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</si>
  <si>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</si>
  <si>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</si>
  <si>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</si>
  <si>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</si>
  <si>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</si>
  <si>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</si>
  <si>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</si>
  <si>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</si>
  <si>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</si>
  <si>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</si>
  <si>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</si>
  <si>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</si>
  <si>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</si>
  <si>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</si>
  <si>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</si>
  <si>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</si>
  <si>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</si>
  <si>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</si>
  <si>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</si>
  <si>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</si>
  <si>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</si>
  <si>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</si>
  <si>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</si>
  <si>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</si>
  <si>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</si>
  <si>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</si>
  <si>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</si>
  <si>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</si>
  <si>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</si>
  <si>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</si>
  <si>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</si>
  <si>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</si>
  <si>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</si>
  <si>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</si>
  <si>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</si>
  <si>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</si>
  <si>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</si>
  <si>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</si>
  <si>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</si>
  <si>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</si>
  <si>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</si>
  <si>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</si>
  <si>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</si>
  <si>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</si>
  <si>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</si>
  <si>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</si>
  <si>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</si>
  <si>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</si>
  <si>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</si>
  <si>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</si>
  <si>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</si>
  <si>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</si>
  <si>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</si>
  <si>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</si>
  <si>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</si>
  <si>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</si>
  <si>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</si>
  <si>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</si>
  <si>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</si>
  <si>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</si>
  <si>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</si>
  <si>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</si>
  <si>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</si>
  <si>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</si>
  <si>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</si>
  <si>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</si>
  <si>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</si>
  <si>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</si>
  <si>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</si>
  <si>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</si>
  <si>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</si>
  <si>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</si>
  <si>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</si>
  <si>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</si>
  <si>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</si>
  <si>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</si>
  <si>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</si>
  <si>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</si>
  <si>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</si>
  <si>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</si>
  <si>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</si>
  <si>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</si>
  <si>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</si>
  <si>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</si>
  <si>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</si>
  <si>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</si>
  <si>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</si>
  <si>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</si>
  <si>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</si>
  <si>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</si>
  <si>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</si>
  <si>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</si>
  <si>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</si>
  <si>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</si>
  <si>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</si>
  <si>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</si>
  <si>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</si>
  <si>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</si>
  <si>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</si>
  <si>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</si>
  <si>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</si>
  <si>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</si>
  <si>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</si>
  <si>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</si>
  <si>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</si>
  <si>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</si>
  <si>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</si>
  <si>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</si>
  <si>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</si>
  <si>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</si>
  <si>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</si>
  <si>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</si>
  <si>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</si>
  <si>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</si>
  <si>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</si>
  <si>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</si>
  <si>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</si>
  <si>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</si>
  <si>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</si>
  <si>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</si>
  <si>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</si>
  <si>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</si>
  <si>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</si>
  <si>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</si>
  <si>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</si>
  <si>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</si>
  <si>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</si>
  <si>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</si>
  <si>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</si>
  <si>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</si>
  <si>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</si>
  <si>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</si>
  <si>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</si>
  <si>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</si>
  <si>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</si>
  <si>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</si>
  <si>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</si>
  <si>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</si>
  <si>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</si>
  <si>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</si>
  <si>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</si>
  <si>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</si>
  <si>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</si>
  <si>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</si>
  <si>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</si>
  <si>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</si>
  <si>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</si>
  <si>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</si>
  <si>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</si>
  <si>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</si>
  <si>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</si>
  <si>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</si>
  <si>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</si>
  <si>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</si>
  <si>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</si>
  <si>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</si>
  <si>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</si>
  <si>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</si>
  <si>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</si>
  <si>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</si>
  <si>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</si>
  <si>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</si>
  <si>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</si>
  <si>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</si>
  <si>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</si>
  <si>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</si>
  <si>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</si>
  <si>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</si>
  <si>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</si>
  <si>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</si>
  <si>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</si>
  <si>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</si>
  <si>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</si>
  <si>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</si>
  <si>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</si>
  <si>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</si>
  <si>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</si>
  <si>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</si>
  <si>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</si>
  <si>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</si>
  <si>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</si>
  <si>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</si>
  <si>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</si>
  <si>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</si>
  <si>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</si>
  <si>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</si>
  <si>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</si>
  <si>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</si>
  <si>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</si>
  <si>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</si>
  <si>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</si>
  <si>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</si>
  <si>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</si>
  <si>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</si>
  <si>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</si>
  <si>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</si>
  <si>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</si>
  <si>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</si>
  <si>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</si>
  <si>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</si>
  <si>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</si>
  <si>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</si>
  <si>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</si>
  <si>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</si>
  <si>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</si>
  <si>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</si>
  <si>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</si>
  <si>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</si>
  <si>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</si>
  <si>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</si>
  <si>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</si>
  <si>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</si>
  <si>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</si>
  <si>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</si>
  <si>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</si>
  <si>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</si>
  <si>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</si>
  <si>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</si>
  <si>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</si>
  <si>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</si>
  <si>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</si>
  <si>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</si>
  <si>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</si>
  <si>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</si>
  <si>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</si>
  <si>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</si>
  <si>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</si>
  <si>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</si>
  <si>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</si>
  <si>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</si>
  <si>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</si>
  <si>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</si>
  <si>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</si>
  <si>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</si>
  <si>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</si>
  <si>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</si>
  <si>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</si>
  <si>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</si>
  <si>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</si>
  <si>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</si>
  <si>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</si>
  <si>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</si>
  <si>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</si>
  <si>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</si>
  <si>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</si>
  <si>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</si>
  <si>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</si>
  <si>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</si>
  <si>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</si>
  <si>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</si>
  <si>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</si>
  <si>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</si>
  <si>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</si>
  <si>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</si>
  <si>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</si>
  <si>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</si>
  <si>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</si>
  <si>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</si>
  <si>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</si>
  <si>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</si>
  <si>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</si>
  <si>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</si>
  <si>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</si>
  <si>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</si>
  <si>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</si>
  <si>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</si>
  <si>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</si>
  <si>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</si>
  <si>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</si>
  <si>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</si>
  <si>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</si>
  <si>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</si>
  <si>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</si>
  <si>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</si>
  <si>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</si>
  <si>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</si>
  <si>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</si>
  <si>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</si>
  <si>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</si>
  <si>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</si>
  <si>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</si>
  <si>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</si>
  <si>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</si>
  <si>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</si>
  <si>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</si>
  <si>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</si>
  <si>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</si>
  <si>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</si>
  <si>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</si>
  <si>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</si>
  <si>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</si>
  <si>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</si>
  <si>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</si>
  <si>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</si>
  <si>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</si>
  <si>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</si>
  <si>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</si>
  <si>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</si>
  <si>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</si>
  <si>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</si>
  <si>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</si>
  <si>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</si>
  <si>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</si>
  <si>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</si>
  <si>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</si>
  <si>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</si>
  <si>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</si>
  <si>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</si>
  <si>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</si>
  <si>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</si>
  <si>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</si>
  <si>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</si>
  <si>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</si>
  <si>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</si>
  <si>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</si>
  <si>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</si>
  <si>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</si>
  <si>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</si>
  <si>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</si>
  <si>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</si>
  <si>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</si>
  <si>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</si>
  <si>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</si>
  <si>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</si>
  <si>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</si>
  <si>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</si>
  <si>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</si>
  <si>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</si>
  <si>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</si>
  <si>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</si>
  <si>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</si>
  <si>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</si>
  <si>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</si>
  <si>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</si>
  <si>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</si>
  <si>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</si>
  <si>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</si>
  <si>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</si>
  <si>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</si>
  <si>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</si>
  <si>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</si>
  <si>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</si>
  <si>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</si>
  <si>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</si>
  <si>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</si>
  <si>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</si>
  <si>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</si>
  <si>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</si>
  <si>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</si>
  <si>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</si>
  <si>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</si>
  <si>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</si>
  <si>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</si>
  <si>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</si>
  <si>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</si>
  <si>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</si>
  <si>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</si>
  <si>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</si>
  <si>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</si>
  <si>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</si>
  <si>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</si>
  <si>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</si>
  <si>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</si>
  <si>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</si>
  <si>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</si>
  <si>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</si>
  <si>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</si>
  <si>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</si>
  <si>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</si>
  <si>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</si>
  <si>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</si>
  <si>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</si>
  <si>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</si>
  <si>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</si>
  <si>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</si>
  <si>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</si>
  <si>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</si>
  <si>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</si>
  <si>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</si>
  <si>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</si>
  <si>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</si>
  <si>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</si>
  <si>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</si>
  <si>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</si>
  <si>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</si>
  <si>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</si>
  <si>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</si>
  <si>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</si>
  <si>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</si>
  <si>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</si>
  <si>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</si>
  <si>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</si>
  <si>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</si>
  <si>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</si>
  <si>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</si>
  <si>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</si>
  <si>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</si>
  <si>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</si>
  <si>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</si>
  <si>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</si>
  <si>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</si>
  <si>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</si>
  <si>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</si>
  <si>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</si>
  <si>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</si>
  <si>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</si>
  <si>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</si>
  <si>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</si>
  <si>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</si>
  <si>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</si>
  <si>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</si>
  <si>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</si>
  <si>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</si>
  <si>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</si>
  <si>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</si>
  <si>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</si>
  <si>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</si>
  <si>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</si>
  <si>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</si>
  <si>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</si>
  <si>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</si>
  <si>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</si>
  <si>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</si>
  <si>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</si>
  <si>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</si>
  <si>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</si>
  <si>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</si>
  <si>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</si>
  <si>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</si>
  <si>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</si>
  <si>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</si>
  <si>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</si>
  <si>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</si>
  <si>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</si>
  <si>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</si>
  <si>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</si>
  <si>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</si>
  <si>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</si>
  <si>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</si>
  <si>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</si>
  <si>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</si>
  <si>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</si>
  <si>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</si>
  <si>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</si>
  <si>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</si>
  <si>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</si>
  <si>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</si>
  <si>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</si>
  <si>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</si>
  <si>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</si>
  <si>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</si>
  <si>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</si>
  <si>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</si>
  <si>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</si>
  <si>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</si>
  <si>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</si>
  <si>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</si>
  <si>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</si>
  <si>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</si>
  <si>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</si>
  <si>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</si>
  <si>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</si>
  <si>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</si>
  <si>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</si>
  <si>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</si>
  <si>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</si>
  <si>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</si>
  <si>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</si>
  <si>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</si>
  <si>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</si>
  <si>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</si>
  <si>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</si>
  <si>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</si>
  <si>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</si>
  <si>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</si>
  <si>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</si>
  <si>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</si>
  <si>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</si>
  <si>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</si>
  <si>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</si>
  <si>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</si>
  <si>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</si>
  <si>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</si>
  <si>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</si>
  <si>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</si>
  <si>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</si>
  <si>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</si>
  <si>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</si>
  <si>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</si>
  <si>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</si>
  <si>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</si>
  <si>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</si>
  <si>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</si>
  <si>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</si>
  <si>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</si>
  <si>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</si>
  <si>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</si>
  <si>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</si>
  <si>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</si>
  <si>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</si>
  <si>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</si>
  <si>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</si>
  <si>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</si>
  <si>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</si>
  <si>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</si>
  <si>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</si>
  <si>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</si>
  <si>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</si>
  <si>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</si>
  <si>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</si>
  <si>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</si>
  <si>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</si>
  <si>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</si>
  <si>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</si>
  <si>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</si>
  <si>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</si>
  <si>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</si>
  <si>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</si>
  <si>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</si>
  <si>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</si>
  <si>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</si>
  <si>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</si>
  <si>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</si>
  <si>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</si>
  <si>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</si>
  <si>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</si>
  <si>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</si>
  <si>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</si>
  <si>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</si>
  <si>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</si>
  <si>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</si>
  <si>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</si>
  <si>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</si>
  <si>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</si>
  <si>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</si>
  <si>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</si>
  <si>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</si>
  <si>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</si>
  <si>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</si>
  <si>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</si>
  <si>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</si>
  <si>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</si>
  <si>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</si>
  <si>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</si>
  <si>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</si>
  <si>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</si>
  <si>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</si>
  <si>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</si>
  <si>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</si>
  <si>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</si>
  <si>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</si>
  <si>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</si>
  <si>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</si>
  <si>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</si>
  <si>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</si>
  <si>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</si>
  <si>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</si>
  <si>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</si>
  <si>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</si>
  <si>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</si>
  <si>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</si>
  <si>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</si>
  <si>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</si>
  <si>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</si>
  <si>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</si>
  <si>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</si>
  <si>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</si>
  <si>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</si>
  <si>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</si>
  <si>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</si>
  <si>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</si>
  <si>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</si>
  <si>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</si>
  <si>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</si>
  <si>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</si>
  <si>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</si>
  <si>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</si>
  <si>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</si>
  <si>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</si>
  <si>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</si>
  <si>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</si>
  <si>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</si>
  <si>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</si>
  <si>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</si>
  <si>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</si>
  <si>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</si>
  <si>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</si>
  <si>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</si>
  <si>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</si>
  <si>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</si>
  <si>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</si>
  <si>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</si>
  <si>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</si>
  <si>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</si>
  <si>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</si>
  <si>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</si>
  <si>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</si>
  <si>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</si>
  <si>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</si>
  <si>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</si>
  <si>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</si>
  <si>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</si>
  <si>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</si>
  <si>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</si>
  <si>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</si>
  <si>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</si>
  <si>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</si>
  <si>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</si>
  <si>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</si>
  <si>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</si>
  <si>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</si>
  <si>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</si>
  <si>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</si>
  <si>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</si>
  <si>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</si>
  <si>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</si>
  <si>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</si>
  <si>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</si>
  <si>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</si>
  <si>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</si>
  <si>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</si>
  <si>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</si>
  <si>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</si>
  <si>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</si>
  <si>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</si>
  <si>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</si>
  <si>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</si>
  <si>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</si>
  <si>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</si>
  <si>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</si>
  <si>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</si>
  <si>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</si>
  <si>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</si>
  <si>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</si>
  <si>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</si>
  <si>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</si>
  <si>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</si>
  <si>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</si>
  <si>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</si>
  <si>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</si>
  <si>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</si>
  <si>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</si>
  <si>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</si>
  <si>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</si>
  <si>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</si>
  <si>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</si>
  <si>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</si>
  <si>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</si>
  <si>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</si>
  <si>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</si>
  <si>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</si>
  <si>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</si>
  <si>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</si>
  <si>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</si>
  <si>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</si>
  <si>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</si>
  <si>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</si>
  <si>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</si>
  <si>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</si>
  <si>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</si>
  <si>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</si>
  <si>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</si>
  <si>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</si>
  <si>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</si>
  <si>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</si>
  <si>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</si>
  <si>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</si>
  <si>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</si>
  <si>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</si>
  <si>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</si>
  <si>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</si>
  <si>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</si>
  <si>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</si>
  <si>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</si>
  <si>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</si>
  <si>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</si>
  <si>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</si>
  <si>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</si>
  <si>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</si>
  <si>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</si>
  <si>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</si>
  <si>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</si>
  <si>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</si>
  <si>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</si>
  <si>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</si>
  <si>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</si>
  <si>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</si>
  <si>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</si>
  <si>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</si>
  <si>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</si>
  <si>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</si>
  <si>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</si>
  <si>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</si>
  <si>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</si>
  <si>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</si>
  <si>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</si>
  <si>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</si>
  <si>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</si>
  <si>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</si>
  <si>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</si>
  <si>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</si>
  <si>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</si>
  <si>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</si>
  <si>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</si>
  <si>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</si>
  <si>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</si>
  <si>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</si>
  <si>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</si>
  <si>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</si>
  <si>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</si>
  <si>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</si>
  <si>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</si>
  <si>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</si>
  <si>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</si>
  <si>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</si>
  <si>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</si>
  <si>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</si>
  <si>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</si>
  <si>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</si>
  <si>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</si>
  <si>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</si>
  <si>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</si>
  <si>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</si>
  <si>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</si>
  <si>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</si>
  <si>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</si>
  <si>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</si>
  <si>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</si>
  <si>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</si>
  <si>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</si>
  <si>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</si>
  <si>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</si>
  <si>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</si>
  <si>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</si>
  <si>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</si>
  <si>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</si>
  <si>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</si>
  <si>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</si>
  <si>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</si>
  <si>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</si>
  <si>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</si>
  <si>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</si>
  <si>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</si>
  <si>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</si>
  <si>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</si>
  <si>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</si>
  <si>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</si>
  <si>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</si>
  <si>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</si>
  <si>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</si>
  <si>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</si>
  <si>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</si>
  <si>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</si>
  <si>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</si>
  <si>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</si>
  <si>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</si>
  <si>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</si>
  <si>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</si>
  <si>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</si>
  <si>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</si>
  <si>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</si>
  <si>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</si>
  <si>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</si>
  <si>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</si>
  <si>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</si>
  <si>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</si>
  <si>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</si>
  <si>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</si>
  <si>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</si>
  <si>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</si>
  <si>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</si>
  <si>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</si>
  <si>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</si>
  <si>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</si>
  <si>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</si>
  <si>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</si>
  <si>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</si>
  <si>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</si>
  <si>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</si>
  <si>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</si>
  <si>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</si>
  <si>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</si>
  <si>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</si>
  <si>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</si>
  <si>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</si>
  <si>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</si>
  <si>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</si>
  <si>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</si>
  <si>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</si>
  <si>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</si>
  <si>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</si>
  <si>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</si>
  <si>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</si>
  <si>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</si>
  <si>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</si>
  <si>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</si>
  <si>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</si>
  <si>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</si>
  <si>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</si>
  <si>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</si>
  <si>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</si>
  <si>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</si>
  <si>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</si>
  <si>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</si>
  <si>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</si>
  <si>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</si>
  <si>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</si>
  <si>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</si>
  <si>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</si>
  <si>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</si>
  <si>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</si>
  <si>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</si>
  <si>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</si>
  <si>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</si>
  <si>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</si>
  <si>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</si>
  <si>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</si>
  <si>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</si>
  <si>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</si>
  <si>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</si>
  <si>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</si>
  <si>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</si>
  <si>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</si>
  <si>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</si>
  <si>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</si>
  <si>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</si>
  <si>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</si>
  <si>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</si>
  <si>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</si>
  <si>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</si>
  <si>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</si>
  <si>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</si>
  <si>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</si>
  <si>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</si>
  <si>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</si>
  <si>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</si>
  <si>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</si>
  <si>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</si>
  <si>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</si>
  <si>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</si>
  <si>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</si>
  <si>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</si>
  <si>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</si>
  <si>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</si>
  <si>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</si>
  <si>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</si>
  <si>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</si>
  <si>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</si>
  <si>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</si>
  <si>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</si>
  <si>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</si>
  <si>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</si>
  <si>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</si>
  <si>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</si>
  <si>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</si>
  <si>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</si>
  <si>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</si>
  <si>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</si>
  <si>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</si>
  <si>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</si>
  <si>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</si>
  <si>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</si>
  <si>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</si>
  <si>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</si>
  <si>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</si>
  <si>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</si>
  <si>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</si>
  <si>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</si>
  <si>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</si>
  <si>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</si>
  <si>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</si>
  <si>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</si>
  <si>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</si>
  <si>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</si>
  <si>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</si>
  <si>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</si>
  <si>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</si>
  <si>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</si>
  <si>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</si>
  <si>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</si>
  <si>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</si>
  <si>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</si>
  <si>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</si>
  <si>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</si>
  <si>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</si>
  <si>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</si>
  <si>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</si>
  <si>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</si>
  <si>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</si>
  <si>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</si>
  <si>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</si>
  <si>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</si>
  <si>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</si>
  <si>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</si>
  <si>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</si>
  <si>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</si>
  <si>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</si>
  <si>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</si>
  <si>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</si>
  <si>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</si>
  <si>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</si>
  <si>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</si>
  <si>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</si>
  <si>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</si>
  <si>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</si>
  <si>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</si>
  <si>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</si>
  <si>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</si>
  <si>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</si>
  <si>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</si>
  <si>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</si>
  <si>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</si>
  <si>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</si>
  <si>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</si>
  <si>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</si>
  <si>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</si>
  <si>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</si>
  <si>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</si>
  <si>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</si>
  <si>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</si>
  <si>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</si>
  <si>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</si>
  <si>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</si>
  <si>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</si>
  <si>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</si>
  <si>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</si>
  <si>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</si>
  <si>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</si>
  <si>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</si>
  <si>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</si>
  <si>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</si>
  <si>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</si>
  <si>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</si>
  <si>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</si>
  <si>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</si>
  <si>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</si>
  <si>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</si>
  <si>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</si>
  <si>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</si>
  <si>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</si>
  <si>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</si>
  <si>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</si>
  <si>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</si>
  <si>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</si>
  <si>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</si>
  <si>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</si>
  <si>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</si>
  <si>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</si>
  <si>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</si>
  <si>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</si>
  <si>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</si>
  <si>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</si>
  <si>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</si>
  <si>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</si>
  <si>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</si>
  <si>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</si>
  <si>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</si>
  <si>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</si>
  <si>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</si>
  <si>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</si>
  <si>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</si>
  <si>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</si>
  <si>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</si>
  <si>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</si>
  <si>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</si>
  <si>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</si>
  <si>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</si>
  <si>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</si>
  <si>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</si>
  <si>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</si>
  <si>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</si>
  <si>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</si>
  <si>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</si>
  <si>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</si>
  <si>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</si>
  <si>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</si>
  <si>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</si>
  <si>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</si>
  <si>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</si>
  <si>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</si>
  <si>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</si>
  <si>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</si>
  <si>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</si>
  <si>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</si>
  <si>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</si>
  <si>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</si>
  <si>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</si>
  <si>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</si>
  <si>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</si>
  <si>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</si>
  <si>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</si>
  <si>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</si>
  <si>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</si>
  <si>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</si>
  <si>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</si>
  <si>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</si>
  <si>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</si>
  <si>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</si>
  <si>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</si>
  <si>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</si>
  <si>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</si>
  <si>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</si>
  <si>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</si>
  <si>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</si>
  <si>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</si>
  <si>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</si>
  <si>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</si>
  <si>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</si>
  <si>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</si>
  <si>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</si>
  <si>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</si>
  <si>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</si>
  <si>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</si>
  <si>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</si>
  <si>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</si>
  <si>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</si>
  <si>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</si>
  <si>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</si>
  <si>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</si>
  <si>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</si>
  <si>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</si>
  <si>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</si>
  <si>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</si>
  <si>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</si>
  <si>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</si>
  <si>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</si>
  <si>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</si>
  <si>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</si>
  <si>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</si>
  <si>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</si>
  <si>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</si>
  <si>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</si>
  <si>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</si>
  <si>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</si>
  <si>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</si>
  <si>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</si>
  <si>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</si>
  <si>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</si>
  <si>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</si>
  <si>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</si>
  <si>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</si>
  <si>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</si>
  <si>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</si>
  <si>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</si>
  <si>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</si>
  <si>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</si>
  <si>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</si>
  <si>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</si>
  <si>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</si>
  <si>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</si>
  <si>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</si>
  <si>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</si>
  <si>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</si>
  <si>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</si>
  <si>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</si>
  <si>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</si>
  <si>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</si>
  <si>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</si>
  <si>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</si>
  <si>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</si>
  <si>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</si>
  <si>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</si>
  <si>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</si>
  <si>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</si>
  <si>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</si>
  <si>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</si>
  <si>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</si>
  <si>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</si>
  <si>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</si>
  <si>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</si>
  <si>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</si>
  <si>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</si>
  <si>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</si>
  <si>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</si>
  <si>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</si>
  <si>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</si>
  <si>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</si>
  <si>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</si>
  <si>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</si>
  <si>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</si>
  <si>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</si>
  <si>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</si>
  <si>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</si>
  <si>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</si>
  <si>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</si>
  <si>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</si>
  <si>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</si>
  <si>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</si>
  <si>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</si>
  <si>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</si>
  <si>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</si>
  <si>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</si>
  <si>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</si>
  <si>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</si>
  <si>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</si>
  <si>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</si>
  <si>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</si>
  <si>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</si>
  <si>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</si>
  <si>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</si>
  <si>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</si>
  <si>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</si>
  <si>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</si>
  <si>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</si>
  <si>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</si>
  <si>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</si>
  <si>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</si>
  <si>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</si>
  <si>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</si>
  <si>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</si>
  <si>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</si>
  <si>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</si>
  <si>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</si>
  <si>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</si>
  <si>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</si>
  <si>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</si>
  <si>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</si>
  <si>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</si>
  <si>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</si>
  <si>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</si>
  <si>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</si>
  <si>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</si>
  <si>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</si>
  <si>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</si>
  <si>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</si>
  <si>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</si>
  <si>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</si>
  <si>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</si>
  <si>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</si>
  <si>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</si>
  <si>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</si>
  <si>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</si>
  <si>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</si>
  <si>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</si>
  <si>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</si>
  <si>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</si>
  <si>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</si>
  <si>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</si>
  <si>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</si>
  <si>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</si>
  <si>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</si>
  <si>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</si>
  <si>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</si>
  <si>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</si>
  <si>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</si>
  <si>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</si>
  <si>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</si>
  <si>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</si>
  <si>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</si>
  <si>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</si>
  <si>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</si>
  <si>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</si>
  <si>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</si>
  <si>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</si>
  <si>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</si>
  <si>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</si>
  <si>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</si>
  <si>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</si>
  <si>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</si>
  <si>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</si>
  <si>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</si>
  <si>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</si>
  <si>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</si>
  <si>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</si>
  <si>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</si>
  <si>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</si>
  <si>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</si>
  <si>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</si>
  <si>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</si>
  <si>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</si>
  <si>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</si>
  <si>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</si>
  <si>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</si>
  <si>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</si>
  <si>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</si>
  <si>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</si>
  <si>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</si>
  <si>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</si>
  <si>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</si>
  <si>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</si>
  <si>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</si>
  <si>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</si>
  <si>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</si>
  <si>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</si>
  <si>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</si>
  <si>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</si>
  <si>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</si>
  <si>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</si>
  <si>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</si>
  <si>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</si>
  <si>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</si>
  <si>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</si>
  <si>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</si>
  <si>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</si>
  <si>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</si>
  <si>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</si>
  <si>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</si>
  <si>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</si>
  <si>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</si>
  <si>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</si>
  <si>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</si>
  <si>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</si>
  <si>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</si>
  <si>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</si>
  <si>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</si>
  <si>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</si>
  <si>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</si>
  <si>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</si>
  <si>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</si>
  <si>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</si>
  <si>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</si>
  <si>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</si>
  <si>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</si>
  <si>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</si>
  <si>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</si>
  <si>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</si>
  <si>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</si>
  <si>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</si>
  <si>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</si>
  <si>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</si>
  <si>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</si>
  <si>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</si>
  <si>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</si>
  <si>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</si>
  <si>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</si>
  <si>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</si>
  <si>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</si>
  <si>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</si>
  <si>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</si>
  <si>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</si>
  <si>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</si>
  <si>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</si>
  <si>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</si>
  <si>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</si>
  <si>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</si>
  <si>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</si>
  <si>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</si>
  <si>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</si>
  <si>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</si>
  <si>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</si>
  <si>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</si>
  <si>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</si>
  <si>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</si>
  <si>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</si>
  <si>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</si>
  <si>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</si>
  <si>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</si>
  <si>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</si>
  <si>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</si>
  <si>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</si>
  <si>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</si>
  <si>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</si>
  <si>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</si>
  <si>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</si>
  <si>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</si>
  <si>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</si>
  <si>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</si>
  <si>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</si>
  <si>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</si>
  <si>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</si>
  <si>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</si>
  <si>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</si>
  <si>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</si>
  <si>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</si>
  <si>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</si>
  <si>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</si>
  <si>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</si>
  <si>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</si>
  <si>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</si>
  <si>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</si>
  <si>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</si>
  <si>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</si>
  <si>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</si>
  <si>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</si>
  <si>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</si>
  <si>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</si>
  <si>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</si>
  <si>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</si>
  <si>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</si>
  <si>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</si>
  <si>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</si>
  <si>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</si>
  <si>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</si>
  <si>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</si>
  <si>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</si>
  <si>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</si>
  <si>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</si>
  <si>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</si>
  <si>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</si>
  <si>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</si>
  <si>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</si>
  <si>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</si>
  <si>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</si>
  <si>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</si>
  <si>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</si>
  <si>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</si>
  <si>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</si>
  <si>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</si>
  <si>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</si>
  <si>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</si>
  <si>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</si>
  <si>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</si>
  <si>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</si>
  <si>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</si>
  <si>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</si>
  <si>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</si>
  <si>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</si>
  <si>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</si>
  <si>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</si>
  <si>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</si>
  <si>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</si>
  <si>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</si>
  <si>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</si>
  <si>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</si>
  <si>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</si>
  <si>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</si>
  <si>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</si>
  <si>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</si>
  <si>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</si>
  <si>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</si>
  <si>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</si>
  <si>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</si>
  <si>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</si>
  <si>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</si>
  <si>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</si>
  <si>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</si>
  <si>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</si>
  <si>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</si>
  <si>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</si>
  <si>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</si>
  <si>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</si>
  <si>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</si>
  <si>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</si>
  <si>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</si>
  <si>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</si>
  <si>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</si>
  <si>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</si>
  <si>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</si>
  <si>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</si>
  <si>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</si>
  <si>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</si>
  <si>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</si>
  <si>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</si>
  <si>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</si>
  <si>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</si>
  <si>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</si>
  <si>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</si>
  <si>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</si>
  <si>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</si>
  <si>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</si>
  <si>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</si>
  <si>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</si>
  <si>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</si>
  <si>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</si>
  <si>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</si>
  <si>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</si>
  <si>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</si>
  <si>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</si>
  <si>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</si>
  <si>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</si>
  <si>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</si>
  <si>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</si>
  <si>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</si>
  <si>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</si>
  <si>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</si>
  <si>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</si>
  <si>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</si>
  <si>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</si>
  <si>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</si>
  <si>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</si>
  <si>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</si>
  <si>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</si>
  <si>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</si>
  <si>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</si>
  <si>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</si>
  <si>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</si>
  <si>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</si>
  <si>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</si>
  <si>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</si>
  <si>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</si>
  <si>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</si>
  <si>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</si>
  <si>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</si>
  <si>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</si>
  <si>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</si>
  <si>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</si>
  <si>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</si>
  <si>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</si>
  <si>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</si>
  <si>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</si>
  <si>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</si>
  <si>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</si>
  <si>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</si>
  <si>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</si>
  <si>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</si>
  <si>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</si>
  <si>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</si>
  <si>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</si>
  <si>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</si>
  <si>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</si>
  <si>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</si>
  <si>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</si>
  <si>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</si>
  <si>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</si>
  <si>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</si>
  <si>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</si>
  <si>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</si>
  <si>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</si>
  <si>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</si>
  <si>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</si>
  <si>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</si>
  <si>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</si>
  <si>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TEFRA Resolution </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</si>
  <si>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</si>
  <si>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</si>
  <si>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</si>
  <si>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</si>
  <si>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</si>
  <si>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</si>
  <si>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</si>
  <si>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5033(b)(6) of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</si>
  <si>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</si>
  <si>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</si>
  <si>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</si>
  <si>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</si>
  <si>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</si>
  <si>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</si>
  <si>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</si>
  <si>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</si>
  <si>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</si>
  <si>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</si>
  <si>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</si>
  <si>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</si>
  <si>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</si>
  <si>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</si>
  <si>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</si>
  <si>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</si>
  <si>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</si>
  <si>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</si>
  <si>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</si>
  <si>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</si>
  <si>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</si>
  <si>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</si>
  <si>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</si>
  <si>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</si>
  <si>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r>
      <t>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t>
    </r>
    <r>
      <rPr>
        <strike/>
        <sz val="10"/>
        <color theme="1"/>
        <rFont val="Arial"/>
        <family val="2"/>
      </rPr>
      <t xml:space="preserve"> </t>
    </r>
    <r>
      <rPr>
        <sz val="10"/>
        <color theme="1"/>
        <rFont val="Arial"/>
        <family val="2"/>
      </rPr>
      <t xml:space="preserve">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r>
  </si>
  <si>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</si>
  <si>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</si>
  <si>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</si>
  <si>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</si>
  <si>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</si>
  <si>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</si>
  <si>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</si>
  <si>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</si>
  <si>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</si>
  <si>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</si>
  <si>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</si>
  <si>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</si>
  <si>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</si>
  <si>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</si>
  <si>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</si>
  <si>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</si>
  <si>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</si>
  <si>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</si>
  <si>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</si>
  <si>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</si>
  <si>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CHISPA East Garrison LP</t>
  </si>
  <si>
    <t>CDLAC-TCAC Joint Application (submitting concurrently)</t>
  </si>
  <si>
    <t>HCD Serna</t>
  </si>
  <si>
    <t>Sponsor loan - TIF</t>
  </si>
  <si>
    <t>Fixed</t>
  </si>
  <si>
    <t>Variable</t>
  </si>
  <si>
    <t>HACM Energy Efficiency Allowances Jan 1, 2021 for all electric units</t>
  </si>
  <si>
    <t>Office expenses</t>
  </si>
  <si>
    <t>Mgmt unit</t>
  </si>
  <si>
    <t>Supplies and equipment</t>
  </si>
  <si>
    <t>FTB</t>
  </si>
  <si>
    <t>Assessments</t>
  </si>
  <si>
    <t>Deferred developer fee</t>
  </si>
  <si>
    <t>Other: Borrower legal</t>
  </si>
  <si>
    <t>Community Housing Improvement Systems and Planning Association, Inc. (CHISPA)</t>
  </si>
  <si>
    <t>CHISPA Housing Management, Inc.</t>
  </si>
  <si>
    <t>FOR CDLAC TIEBREAKER ONLY
% of AMI</t>
  </si>
  <si>
    <t>TOTAL LI Units</t>
  </si>
  <si>
    <t>TOTAL LI &amp; Market BRs</t>
  </si>
  <si>
    <t>TOTAL Market Units</t>
  </si>
  <si>
    <t>TOTAL LI Bedrooms</t>
  </si>
  <si>
    <t>TOTAL Manager Units</t>
  </si>
  <si>
    <t>TOTAL Manager Bedrooms</t>
  </si>
  <si>
    <t>market rate AMIs</t>
  </si>
  <si>
    <t>TOTAL Market Units at or below 100% AMI</t>
  </si>
  <si>
    <t>*This is the difference between the project county's basis limit and the lowest county basis limit.  See Application sheet Threshold Basis Limits Table.
All counties' 4% credit threshold basis limits are available on the TCAC website: 
https://www.treasurer.ca.gov/ctcac/2021/applications/2021-basis-limits-memo-update.pdf</t>
  </si>
  <si>
    <t>January 15, 2021 Version</t>
  </si>
  <si>
    <t>1 bedroom</t>
  </si>
  <si>
    <t>2 bedroom</t>
  </si>
  <si>
    <t>3 bedroom</t>
  </si>
  <si>
    <t>East Garrison</t>
  </si>
  <si>
    <t xml:space="preserve">031-169-057-000 and 031-169-058-000 </t>
  </si>
  <si>
    <t>21231 Ord Avenue and 21131 Ord Avenue</t>
  </si>
  <si>
    <t>295 Main Street, Suite 100</t>
  </si>
  <si>
    <t>Salinas</t>
  </si>
  <si>
    <t>Normond V. Kolpin</t>
  </si>
  <si>
    <t>CA</t>
  </si>
  <si>
    <t>CHISPA, Inc.</t>
  </si>
  <si>
    <t>nkolpin@chispahousing.org</t>
  </si>
  <si>
    <t>Community Housing Improvement Systems and Planning Association, Inc.</t>
  </si>
  <si>
    <t>Managing GP</t>
  </si>
  <si>
    <t>Dana Cleary</t>
  </si>
  <si>
    <t>dcleary@chispahousing.org</t>
  </si>
  <si>
    <t>295 Main St., Ste. 295</t>
  </si>
  <si>
    <t>Salinas, CA 93901</t>
  </si>
  <si>
    <t>paulw@pauldavispartnership.com</t>
  </si>
  <si>
    <t>The Paul Davis Partnership</t>
  </si>
  <si>
    <t>286 El Dorado Street, Suite A</t>
  </si>
  <si>
    <t>Monterey, CA 93940</t>
  </si>
  <si>
    <t>Paul W. Davis</t>
  </si>
  <si>
    <t xml:space="preserve">Gubb and Barshay </t>
  </si>
  <si>
    <t>505 14th Street, Suite 450</t>
  </si>
  <si>
    <t>Oakland, CA 94612</t>
  </si>
  <si>
    <t>Scott Barshay</t>
  </si>
  <si>
    <t>sbarshay@gubbandbarshay.com</t>
  </si>
  <si>
    <t>Novogradac &amp; Company, LLP</t>
  </si>
  <si>
    <t>246 First Street, 5th Floor</t>
  </si>
  <si>
    <t>San Francisco, CA 94105</t>
  </si>
  <si>
    <t>James R. Kroger</t>
  </si>
  <si>
    <t>jim.kroger@novoco.com</t>
  </si>
  <si>
    <t>7227 Metcalf Avenue, Suite 250</t>
  </si>
  <si>
    <t>Overland Park, KS 66204</t>
  </si>
  <si>
    <t>Rebecca S. Arthur, MAI</t>
  </si>
  <si>
    <t>rebecca.arthur@novoco.com</t>
  </si>
  <si>
    <t xml:space="preserve">Community Economics  </t>
  </si>
  <si>
    <t>538 9th Street, Suite 200</t>
  </si>
  <si>
    <t>Oakland, CA 94607</t>
  </si>
  <si>
    <t>Elissa Dennis</t>
  </si>
  <si>
    <t>Elissa@communityeconomics.org</t>
  </si>
  <si>
    <t>To Be Determined</t>
  </si>
  <si>
    <t>California Municipal Finance Authority</t>
  </si>
  <si>
    <t>2111 Palomar Airport Rd., Ste.320</t>
  </si>
  <si>
    <t>Carlsbad, CA 92011</t>
  </si>
  <si>
    <t>Anthony Stubbs</t>
  </si>
  <si>
    <t>astubbs@cmfa-ca.com</t>
  </si>
  <si>
    <t>CHISPA Housing Management, Inc. (CHMI)</t>
  </si>
  <si>
    <t xml:space="preserve">295 Main Street, Suite 100 </t>
  </si>
  <si>
    <t>Jonathan Bohorquez</t>
  </si>
  <si>
    <t>jbohorquez@chispahousing.org</t>
  </si>
  <si>
    <t>UCP East Garrison, LLC</t>
  </si>
  <si>
    <t>Nicholas Arenson</t>
  </si>
  <si>
    <t>Division President</t>
  </si>
  <si>
    <t xml:space="preserve">900 E. Hamilton Ave., Suite 500, </t>
  </si>
  <si>
    <t>Campbell, CA 95008</t>
  </si>
  <si>
    <t>Other (Specify below)</t>
  </si>
  <si>
    <t>2 or 3 Story Garden</t>
  </si>
  <si>
    <t>Very-Low Income Housing (Section 8)</t>
  </si>
  <si>
    <t>3 Stories / 45 Feet</t>
  </si>
  <si>
    <t>1.03:1</t>
  </si>
  <si>
    <t>Douglas Truong</t>
  </si>
  <si>
    <t>Sacramento, CA 94252-2054</t>
  </si>
  <si>
    <t>HCD Serna (19-FWHG-14443)</t>
  </si>
  <si>
    <t>2020 W El Camino Ave, Ste 670, 95833</t>
  </si>
  <si>
    <t>168 W Alisal Street, 3rd Floor</t>
  </si>
  <si>
    <t>Salinas, CA 93901-2680</t>
  </si>
  <si>
    <t>Sponsor loan - Monterey County TIF</t>
  </si>
  <si>
    <t>Nicholas E. Chiulos</t>
  </si>
  <si>
    <t>Construction</t>
  </si>
  <si>
    <t>Permanent</t>
  </si>
  <si>
    <t>Loaves, Fishes and Computers</t>
  </si>
  <si>
    <t>Central Coast YMCA</t>
  </si>
  <si>
    <t>40%/60% Average Income</t>
  </si>
  <si>
    <t>n/a</t>
  </si>
  <si>
    <t>GP equity - land donated from master developer</t>
  </si>
  <si>
    <t>interest</t>
  </si>
  <si>
    <t>LP equity available for construction</t>
  </si>
  <si>
    <t>BellwetherEnterprise - perm loan</t>
  </si>
  <si>
    <t>zero %</t>
  </si>
  <si>
    <t>Sponsor loan - Monterey Bay Community Power</t>
  </si>
  <si>
    <t xml:space="preserve">GP equity </t>
  </si>
  <si>
    <t>Serna Farmworker</t>
  </si>
  <si>
    <t xml:space="preserve">Monterey County </t>
  </si>
  <si>
    <t>Project-based vouchers (PBVs)</t>
  </si>
  <si>
    <t>Section 8</t>
  </si>
  <si>
    <t>HCD</t>
  </si>
  <si>
    <t>PV system</t>
  </si>
  <si>
    <t>owner legal - perm loan</t>
  </si>
  <si>
    <t>LP equity PV credit</t>
  </si>
  <si>
    <t>prevailing wage monitoring</t>
  </si>
  <si>
    <t>General Partner</t>
  </si>
  <si>
    <t>Chase Bank tax exempt construction loan</t>
  </si>
  <si>
    <t>Chase Bank taxable construction loan</t>
  </si>
  <si>
    <t>HCD - Serna</t>
  </si>
  <si>
    <t>Sponsor loan of County funds</t>
  </si>
  <si>
    <t>Below residual receipts line for cash flow</t>
  </si>
  <si>
    <t>Century Communities</t>
  </si>
  <si>
    <t>$1 (3,300,000)</t>
  </si>
  <si>
    <t>It is possible that some farmworker families will qualify for Section 8</t>
  </si>
  <si>
    <t xml:space="preserve">560 Mission St. </t>
  </si>
  <si>
    <t>James Vossoughi</t>
  </si>
  <si>
    <t>Construction/Permanent Financing</t>
  </si>
  <si>
    <t>Electric Grant</t>
  </si>
  <si>
    <t>Monterey County TIF</t>
  </si>
  <si>
    <t>Alfred Diaz-Infante</t>
  </si>
  <si>
    <t xml:space="preserve">Century Communities (GP Equity) </t>
  </si>
  <si>
    <t>900 E Hamilton Ave., Ste. 500</t>
  </si>
  <si>
    <t>Nick Aronson</t>
  </si>
  <si>
    <t>Grants</t>
  </si>
  <si>
    <t>Provided</t>
  </si>
  <si>
    <t>Not Applicable</t>
  </si>
  <si>
    <t>Bright Green Strategies</t>
  </si>
  <si>
    <t>150 Felker St., Suite H</t>
  </si>
  <si>
    <t>Santa Cruz, CA 95060</t>
  </si>
  <si>
    <t>Pete Kennedy</t>
  </si>
  <si>
    <t>pkennedy@brightgreenstrategies.com</t>
  </si>
  <si>
    <t>CHISPA East Garrison Apartments</t>
  </si>
  <si>
    <t>County of Monterey, County Administrative Office</t>
  </si>
  <si>
    <t>Charles McKee, County Administrative Officer</t>
  </si>
  <si>
    <t xml:space="preserve">168 West Alisal Street,3rd Floor </t>
  </si>
  <si>
    <t>Salinas, CA</t>
  </si>
  <si>
    <t>mckeecj@co.monterey.ca.us</t>
  </si>
  <si>
    <t>President/CEO</t>
  </si>
  <si>
    <t>27th</t>
  </si>
  <si>
    <t>January</t>
  </si>
  <si>
    <t>, 2021  at</t>
  </si>
  <si>
    <t>(See Notarized Pages Attached)</t>
  </si>
  <si>
    <t xml:space="preserve">                  Salinas</t>
  </si>
  <si>
    <t>4555 W Burgundy Trail</t>
  </si>
  <si>
    <t>LaPorte, IN 46350</t>
  </si>
  <si>
    <t>Bob Morton</t>
  </si>
  <si>
    <t>LIBOR</t>
  </si>
  <si>
    <t>25 yrs fr ops start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</si>
</sst>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trike/>
      <sz val="10"/>
      <color theme="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7">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2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570" applyFont="1" applyProtection="1"/>
    <xf numFmtId="0" fontId="10" fillId="0" borderId="0" xfId="570" applyProtection="1"/>
    <xf numFmtId="0" fontId="17" fillId="0" borderId="0" xfId="570" applyFont="1" applyProtection="1"/>
    <xf numFmtId="49" fontId="17" fillId="0" borderId="0" xfId="570" applyNumberFormat="1" applyFont="1" applyAlignment="1">
      <alignment horizontal="center"/>
    </xf>
    <xf numFmtId="0" fontId="10" fillId="0" borderId="0" xfId="570" applyAlignment="1">
      <alignment vertical="center"/>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0" fillId="0" borderId="0" xfId="0" applyAlignment="1" applyProtection="1"/>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8" fillId="0" borderId="50" xfId="4496" applyFont="1" applyFill="1" applyBorder="1" applyAlignment="1" applyProtection="1">
      <alignment horizontal="left" vertical="top"/>
    </xf>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7" fillId="0" borderId="0" xfId="0" applyFont="1" applyAlignment="1">
      <alignment vertical="top"/>
    </xf>
    <xf numFmtId="49" fontId="10" fillId="0" borderId="0" xfId="0" applyNumberFormat="1" applyFont="1"/>
    <xf numFmtId="49" fontId="10" fillId="0" borderId="0" xfId="0" applyNumberFormat="1" applyFont="1" applyAlignment="1">
      <alignment horizontal="center"/>
    </xf>
    <xf numFmtId="0" fontId="10" fillId="0" borderId="0" xfId="0" quotePrefix="1" applyFont="1"/>
    <xf numFmtId="0" fontId="28" fillId="0" borderId="0" xfId="0" applyFont="1" applyAlignment="1">
      <alignment horizontal="center"/>
    </xf>
    <xf numFmtId="0" fontId="10" fillId="0" borderId="4" xfId="0" applyFont="1" applyBorder="1" applyAlignment="1">
      <alignment horizontal="left"/>
    </xf>
    <xf numFmtId="0" fontId="10" fillId="0" borderId="0" xfId="0" quotePrefix="1" applyFont="1" applyAlignment="1">
      <alignment horizontal="left"/>
    </xf>
    <xf numFmtId="0" fontId="0" fillId="0" borderId="0" xfId="0" applyAlignment="1">
      <alignment wrapText="1"/>
    </xf>
    <xf numFmtId="0" fontId="40" fillId="0" borderId="0" xfId="0" applyFont="1" applyAlignment="1">
      <alignment horizontal="left"/>
    </xf>
    <xf numFmtId="10" fontId="10" fillId="0" borderId="0" xfId="4496" applyNumberFormat="1" applyFont="1" applyFill="1" applyProtection="1"/>
    <xf numFmtId="0" fontId="10" fillId="0" borderId="0" xfId="4496" applyFont="1" applyFill="1" applyAlignment="1" applyProtection="1">
      <alignment horizontal="center"/>
    </xf>
    <xf numFmtId="165" fontId="10" fillId="0" borderId="0" xfId="4496" applyNumberFormat="1" applyFont="1" applyFill="1" applyProtection="1"/>
    <xf numFmtId="0" fontId="10" fillId="0" borderId="0" xfId="570"/>
    <xf numFmtId="0" fontId="10" fillId="0" borderId="0" xfId="1193"/>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47" fillId="5" borderId="11" xfId="0" applyFont="1" applyFill="1" applyBorder="1" applyAlignment="1" applyProtection="1">
      <alignment horizontal="right" vertical="top" wrapText="1"/>
      <protection locked="0"/>
    </xf>
    <xf numFmtId="0" fontId="92" fillId="0" borderId="0" xfId="4497" applyFont="1" applyFill="1" applyAlignment="1">
      <alignment horizontal="right"/>
    </xf>
    <xf numFmtId="0" fontId="92" fillId="0" borderId="0" xfId="4497" applyFont="1" applyAlignment="1">
      <alignment horizontal="right"/>
    </xf>
    <xf numFmtId="0" fontId="92" fillId="0" borderId="6" xfId="4497" applyFont="1" applyBorder="1" applyAlignment="1">
      <alignment horizontal="right"/>
    </xf>
    <xf numFmtId="172" fontId="112" fillId="0" borderId="0" xfId="0" applyNumberFormat="1" applyFont="1" applyFill="1" applyAlignment="1">
      <alignment horizontal="center"/>
    </xf>
    <xf numFmtId="0" fontId="10" fillId="0" borderId="0" xfId="0" applyFont="1" applyAlignment="1">
      <alignment horizontal="left" vertical="top"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0" applyFont="1" applyAlignment="1">
      <alignment horizontal="left"/>
    </xf>
    <xf numFmtId="0" fontId="28" fillId="0" borderId="0" xfId="0" applyFont="1" applyAlignment="1">
      <alignment horizontal="left"/>
    </xf>
    <xf numFmtId="0" fontId="17" fillId="0" borderId="0" xfId="0" applyFont="1" applyAlignment="1">
      <alignment horizontal="left"/>
    </xf>
    <xf numFmtId="0" fontId="28" fillId="0" borderId="0" xfId="570" applyFont="1" applyAlignment="1">
      <alignment horizontal="left"/>
    </xf>
    <xf numFmtId="0" fontId="17" fillId="0" borderId="0" xfId="570" applyFont="1" applyAlignment="1">
      <alignment horizontal="left" vertical="top"/>
    </xf>
    <xf numFmtId="0" fontId="11" fillId="0" borderId="0" xfId="244" quotePrefix="1" applyAlignment="1" applyProtection="1">
      <alignment horizontal="left"/>
    </xf>
    <xf numFmtId="49" fontId="10" fillId="0" borderId="0" xfId="0" applyNumberFormat="1" applyFont="1" applyAlignment="1">
      <alignment horizontal="left" vertical="top" wrapText="1"/>
    </xf>
    <xf numFmtId="0" fontId="10" fillId="0" borderId="0" xfId="0" quotePrefix="1" applyFont="1" applyAlignment="1">
      <alignment horizontal="left" vertical="top"/>
    </xf>
    <xf numFmtId="0" fontId="17" fillId="0" borderId="0" xfId="570" applyFont="1" applyAlignment="1">
      <alignment horizontal="left"/>
    </xf>
    <xf numFmtId="0" fontId="10" fillId="0" borderId="0" xfId="570" applyAlignment="1">
      <alignment horizontal="left" vertical="top" wrapText="1"/>
    </xf>
    <xf numFmtId="0" fontId="10" fillId="0" borderId="0" xfId="570" applyAlignment="1">
      <alignment horizontal="center"/>
    </xf>
    <xf numFmtId="0" fontId="10" fillId="5" borderId="6" xfId="570" applyFill="1" applyBorder="1" applyProtection="1">
      <protection locked="0"/>
    </xf>
    <xf numFmtId="0" fontId="45" fillId="0" borderId="0" xfId="0" applyFont="1" applyAlignment="1">
      <alignment horizontal="center"/>
    </xf>
    <xf numFmtId="49" fontId="40" fillId="0" borderId="0" xfId="0" applyNumberFormat="1" applyFont="1" applyAlignment="1">
      <alignment horizontal="center"/>
    </xf>
    <xf numFmtId="4" fontId="10" fillId="0" borderId="0" xfId="570" applyNumberFormat="1" applyAlignment="1">
      <alignment horizontal="left"/>
    </xf>
    <xf numFmtId="4" fontId="10" fillId="0" borderId="0" xfId="0" applyNumberFormat="1" applyFont="1"/>
    <xf numFmtId="4" fontId="10" fillId="0" borderId="0" xfId="0" applyNumberFormat="1" applyFont="1" applyAlignment="1">
      <alignment horizontal="left"/>
    </xf>
    <xf numFmtId="4" fontId="10" fillId="0" borderId="0" xfId="0" applyNumberFormat="1" applyFont="1" applyAlignment="1">
      <alignment horizontal="center"/>
    </xf>
    <xf numFmtId="4" fontId="45" fillId="0" borderId="0" xfId="0" applyNumberFormat="1" applyFont="1" applyAlignment="1">
      <alignment horizontal="center"/>
    </xf>
    <xf numFmtId="49" fontId="10" fillId="0" borderId="0" xfId="1193" applyNumberFormat="1"/>
    <xf numFmtId="0" fontId="10" fillId="0" borderId="0" xfId="1193" applyAlignment="1">
      <alignment horizontal="left" wrapText="1"/>
    </xf>
    <xf numFmtId="4" fontId="10" fillId="0" borderId="0" xfId="1193" applyNumberFormat="1" applyAlignment="1">
      <alignment horizontal="left"/>
    </xf>
    <xf numFmtId="4" fontId="10" fillId="0" borderId="0" xfId="1193" applyNumberFormat="1" applyAlignment="1">
      <alignment horizontal="left" vertical="top" wrapText="1"/>
    </xf>
    <xf numFmtId="0" fontId="17" fillId="0" borderId="0" xfId="1193" applyFont="1"/>
    <xf numFmtId="49" fontId="10" fillId="0" borderId="0" xfId="0" applyNumberFormat="1" applyFont="1" applyAlignment="1">
      <alignment vertical="center"/>
    </xf>
    <xf numFmtId="49" fontId="17" fillId="0" borderId="0" xfId="0" applyNumberFormat="1" applyFont="1" applyAlignment="1">
      <alignment horizontal="center" vertical="center"/>
    </xf>
    <xf numFmtId="0" fontId="45" fillId="0" borderId="0" xfId="0" applyFont="1" applyAlignment="1">
      <alignment horizontal="center" vertical="center"/>
    </xf>
    <xf numFmtId="4" fontId="28" fillId="0" borderId="0" xfId="0" applyNumberFormat="1" applyFont="1" applyAlignment="1">
      <alignment horizontal="left"/>
    </xf>
    <xf numFmtId="0" fontId="40" fillId="0" borderId="0" xfId="1193" applyFont="1" applyAlignment="1">
      <alignment horizontal="left"/>
    </xf>
    <xf numFmtId="0" fontId="17" fillId="0" borderId="4" xfId="0" applyFont="1" applyBorder="1" applyAlignment="1">
      <alignment horizontal="left"/>
    </xf>
    <xf numFmtId="4" fontId="10" fillId="0" borderId="0" xfId="0" applyNumberFormat="1" applyFont="1" applyAlignment="1">
      <alignment horizontal="left" vertical="top" wrapText="1"/>
    </xf>
    <xf numFmtId="4" fontId="10" fillId="0" borderId="0" xfId="0" applyNumberFormat="1" applyFont="1" applyAlignment="1">
      <alignment vertical="top" wrapText="1"/>
    </xf>
    <xf numFmtId="0" fontId="10" fillId="0" borderId="0" xfId="1193" applyAlignment="1">
      <alignment horizontal="left"/>
    </xf>
    <xf numFmtId="49" fontId="10" fillId="0" borderId="0" xfId="570" applyNumberFormat="1"/>
    <xf numFmtId="0" fontId="45" fillId="0" borderId="0" xfId="570" applyFont="1" applyAlignment="1">
      <alignment horizontal="center"/>
    </xf>
    <xf numFmtId="0" fontId="10" fillId="0" borderId="0" xfId="570" applyAlignment="1">
      <alignment horizontal="left"/>
    </xf>
    <xf numFmtId="4" fontId="10" fillId="0" borderId="0" xfId="570" applyNumberFormat="1"/>
    <xf numFmtId="4" fontId="10" fillId="0" borderId="0" xfId="570" applyNumberFormat="1" applyAlignment="1">
      <alignment horizontal="center"/>
    </xf>
    <xf numFmtId="4" fontId="45" fillId="0" borderId="0" xfId="570" applyNumberFormat="1" applyFont="1" applyAlignment="1">
      <alignment horizontal="center"/>
    </xf>
    <xf numFmtId="0" fontId="10" fillId="0" borderId="0" xfId="570" quotePrefix="1" applyAlignment="1">
      <alignment horizontal="left"/>
    </xf>
    <xf numFmtId="0" fontId="17" fillId="0" borderId="0" xfId="570" applyFont="1" applyAlignment="1">
      <alignment horizontal="center"/>
    </xf>
    <xf numFmtId="0" fontId="42" fillId="0" borderId="0" xfId="570" applyFont="1" applyAlignment="1">
      <alignment horizontal="left"/>
    </xf>
    <xf numFmtId="0" fontId="28" fillId="0" borderId="0" xfId="570" applyFont="1" applyAlignment="1">
      <alignment horizontal="center"/>
    </xf>
    <xf numFmtId="49" fontId="10" fillId="0" borderId="0" xfId="570" applyNumberFormat="1" applyAlignment="1">
      <alignment horizontal="center"/>
    </xf>
    <xf numFmtId="0" fontId="10" fillId="0" borderId="0" xfId="570" applyAlignment="1">
      <alignment vertical="top"/>
    </xf>
    <xf numFmtId="0" fontId="10" fillId="0" borderId="0" xfId="570" applyAlignment="1">
      <alignment vertical="top" wrapText="1"/>
    </xf>
    <xf numFmtId="0" fontId="17" fillId="0" borderId="0" xfId="570" quotePrefix="1" applyFont="1" applyAlignment="1">
      <alignment horizontal="center"/>
    </xf>
    <xf numFmtId="0" fontId="17" fillId="0" borderId="0" xfId="1193" applyFont="1" applyAlignment="1">
      <alignment horizontal="left"/>
    </xf>
    <xf numFmtId="0" fontId="10" fillId="0" borderId="0" xfId="1193" applyAlignment="1">
      <alignment horizontal="left" vertical="top" wrapText="1"/>
    </xf>
    <xf numFmtId="0" fontId="40" fillId="0" borderId="0" xfId="570" applyFont="1" applyAlignment="1">
      <alignment horizontal="left"/>
    </xf>
    <xf numFmtId="4" fontId="10" fillId="0" borderId="0" xfId="1193" applyNumberFormat="1" applyAlignment="1">
      <alignment vertical="top" wrapText="1"/>
    </xf>
    <xf numFmtId="0" fontId="45" fillId="0" borderId="0" xfId="1193" applyFont="1" applyAlignment="1">
      <alignment horizontal="center"/>
    </xf>
    <xf numFmtId="0" fontId="10" fillId="0" borderId="0" xfId="1193" applyAlignment="1">
      <alignment vertical="top" wrapText="1"/>
    </xf>
    <xf numFmtId="0" fontId="10" fillId="0" borderId="0" xfId="570" applyAlignment="1" applyProtection="1">
      <alignment horizontal="left"/>
      <protection locked="0"/>
    </xf>
    <xf numFmtId="0" fontId="10" fillId="0" borderId="0" xfId="1193" applyAlignment="1" applyProtection="1">
      <alignment horizontal="left"/>
      <protection locked="0"/>
    </xf>
    <xf numFmtId="0" fontId="28" fillId="0" borderId="0" xfId="570" applyFont="1"/>
    <xf numFmtId="0" fontId="11" fillId="0" borderId="0" xfId="244" applyAlignment="1" applyProtection="1">
      <alignment horizontal="center"/>
    </xf>
    <xf numFmtId="0" fontId="10" fillId="0" borderId="0" xfId="570" applyAlignment="1">
      <alignment horizontal="left" indent="4"/>
    </xf>
    <xf numFmtId="0" fontId="10" fillId="0" borderId="0" xfId="570" applyAlignment="1">
      <alignment horizontal="left" vertical="top"/>
    </xf>
    <xf numFmtId="0" fontId="10" fillId="0" borderId="0" xfId="1193" applyAlignment="1">
      <alignment horizontal="center"/>
    </xf>
    <xf numFmtId="0" fontId="10" fillId="0" borderId="0" xfId="570" applyAlignment="1">
      <alignment horizontal="center" vertical="center"/>
    </xf>
    <xf numFmtId="49" fontId="10" fillId="0" borderId="0" xfId="1193" applyNumberFormat="1" applyAlignment="1">
      <alignment vertical="top" wrapText="1"/>
    </xf>
    <xf numFmtId="43" fontId="10" fillId="0" borderId="0" xfId="699" applyFont="1" applyProtection="1"/>
    <xf numFmtId="43" fontId="10" fillId="0" borderId="0" xfId="699" applyFont="1" applyAlignment="1" applyProtection="1">
      <alignment horizontal="center"/>
    </xf>
    <xf numFmtId="43" fontId="45" fillId="0" borderId="0" xfId="699" applyFont="1" applyAlignment="1" applyProtection="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28" fillId="0" borderId="0" xfId="570" applyFont="1" applyAlignment="1">
      <alignment horizontal="center"/>
    </xf>
    <xf numFmtId="0" fontId="10" fillId="0" borderId="0" xfId="570"/>
    <xf numFmtId="0" fontId="17" fillId="0" borderId="0" xfId="570" applyFont="1" applyAlignment="1">
      <alignment horizontal="center"/>
    </xf>
    <xf numFmtId="0" fontId="10" fillId="0" borderId="0" xfId="570" applyAlignment="1">
      <alignment horizontal="center"/>
    </xf>
    <xf numFmtId="0" fontId="28" fillId="0" borderId="0" xfId="570" applyFont="1" applyAlignment="1">
      <alignment horizontal="left" wrapText="1"/>
    </xf>
    <xf numFmtId="0" fontId="10" fillId="0" borderId="0" xfId="570" applyAlignment="1">
      <alignment horizontal="left"/>
    </xf>
    <xf numFmtId="0" fontId="10" fillId="0" borderId="0" xfId="570" applyAlignment="1">
      <alignment horizontal="left" vertical="top" wrapText="1"/>
    </xf>
    <xf numFmtId="0" fontId="10" fillId="0" borderId="0" xfId="570" applyAlignment="1">
      <alignment horizontal="left" vertical="top"/>
    </xf>
    <xf numFmtId="0" fontId="28" fillId="0" borderId="0" xfId="570" applyFont="1" applyAlignment="1">
      <alignment horizontal="left" vertical="top" wrapText="1"/>
    </xf>
    <xf numFmtId="49" fontId="10" fillId="0" borderId="0" xfId="1193" applyNumberFormat="1" applyAlignment="1">
      <alignment horizontal="left" vertical="top" wrapText="1"/>
    </xf>
    <xf numFmtId="0" fontId="11" fillId="0" borderId="0" xfId="244" applyNumberFormat="1" applyFill="1" applyAlignment="1" applyProtection="1">
      <alignment horizontal="left"/>
    </xf>
    <xf numFmtId="0" fontId="10" fillId="0" borderId="0" xfId="1193" applyAlignment="1">
      <alignment horizontal="left"/>
    </xf>
    <xf numFmtId="0" fontId="10" fillId="0" borderId="0" xfId="1193" applyAlignment="1">
      <alignment horizontal="left" vertical="top" wrapText="1"/>
    </xf>
    <xf numFmtId="4" fontId="10" fillId="0" borderId="0" xfId="1193" applyNumberFormat="1" applyAlignment="1">
      <alignment horizontal="left" vertical="top" wrapText="1"/>
    </xf>
    <xf numFmtId="0" fontId="17" fillId="0" borderId="0" xfId="0" applyFont="1" applyAlignment="1">
      <alignment horizontal="left" vertical="top"/>
    </xf>
    <xf numFmtId="0" fontId="17" fillId="0" borderId="0" xfId="570" applyFont="1" applyAlignment="1">
      <alignment horizontal="left"/>
    </xf>
    <xf numFmtId="0" fontId="10" fillId="0" borderId="0" xfId="1193" applyAlignment="1" applyProtection="1">
      <alignment horizontal="left" vertical="top" wrapText="1"/>
      <protection locked="0"/>
    </xf>
    <xf numFmtId="0" fontId="17" fillId="0" borderId="16" xfId="570" applyFont="1" applyBorder="1" applyAlignment="1">
      <alignment horizontal="left"/>
    </xf>
    <xf numFmtId="0" fontId="10" fillId="0" borderId="27" xfId="570" applyBorder="1" applyAlignment="1">
      <alignment horizontal="left"/>
    </xf>
    <xf numFmtId="0" fontId="10" fillId="0" borderId="0" xfId="1193" applyAlignment="1">
      <alignment vertical="top" wrapText="1"/>
    </xf>
    <xf numFmtId="0" fontId="11" fillId="0" borderId="0" xfId="244" applyAlignment="1" applyProtection="1">
      <alignment horizontal="left" vertical="top" wrapText="1"/>
    </xf>
    <xf numFmtId="0" fontId="28" fillId="0" borderId="0" xfId="1193" applyFont="1" applyAlignment="1">
      <alignment horizontal="left"/>
    </xf>
    <xf numFmtId="0" fontId="17" fillId="0" borderId="4" xfId="570" applyFont="1" applyBorder="1" applyAlignment="1">
      <alignment horizontal="left" vertical="top"/>
    </xf>
    <xf numFmtId="4" fontId="10" fillId="0" borderId="0" xfId="570" applyNumberFormat="1" applyAlignment="1">
      <alignment horizontal="left"/>
    </xf>
    <xf numFmtId="4" fontId="28" fillId="0" borderId="0" xfId="570" applyNumberFormat="1" applyFont="1" applyAlignment="1">
      <alignment horizontal="left" vertical="top" wrapText="1"/>
    </xf>
    <xf numFmtId="4" fontId="10" fillId="0" borderId="0" xfId="570" applyNumberFormat="1" applyAlignment="1">
      <alignment horizontal="left" vertical="top" wrapText="1"/>
    </xf>
    <xf numFmtId="0" fontId="17" fillId="0" borderId="0" xfId="570" applyFont="1" applyAlignment="1">
      <alignment horizontal="left" vertical="top" wrapText="1"/>
    </xf>
    <xf numFmtId="0" fontId="17" fillId="0" borderId="4" xfId="0" applyFont="1" applyBorder="1" applyAlignment="1">
      <alignment horizontal="left" vertical="top"/>
    </xf>
    <xf numFmtId="4" fontId="28" fillId="0" borderId="0" xfId="0" applyNumberFormat="1" applyFont="1" applyAlignment="1">
      <alignment horizontal="left" vertical="top" wrapText="1"/>
    </xf>
    <xf numFmtId="4" fontId="10"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7" fillId="0" borderId="4" xfId="0" applyFont="1" applyBorder="1" applyAlignment="1">
      <alignment horizontal="left"/>
    </xf>
    <xf numFmtId="0" fontId="10" fillId="0" borderId="0" xfId="0" quotePrefix="1" applyFont="1" applyAlignment="1">
      <alignment horizontal="left" vertical="top" wrapText="1"/>
    </xf>
    <xf numFmtId="0" fontId="10" fillId="0" borderId="0" xfId="0" quotePrefix="1" applyFont="1" applyAlignment="1">
      <alignment horizontal="left" vertical="top"/>
    </xf>
    <xf numFmtId="49" fontId="17" fillId="0" borderId="0" xfId="0" applyNumberFormat="1" applyFont="1" applyAlignment="1">
      <alignment horizontal="left"/>
    </xf>
    <xf numFmtId="0" fontId="28" fillId="0" borderId="0" xfId="1193" applyFont="1" applyAlignment="1">
      <alignment horizontal="left" vertical="top" wrapText="1"/>
    </xf>
    <xf numFmtId="49" fontId="17" fillId="0" borderId="0" xfId="0" applyNumberFormat="1" applyFont="1" applyAlignment="1">
      <alignment horizontal="left" vertical="top"/>
    </xf>
    <xf numFmtId="4" fontId="28" fillId="0" borderId="0" xfId="0" applyNumberFormat="1" applyFont="1" applyAlignment="1">
      <alignment horizontal="left"/>
    </xf>
    <xf numFmtId="0" fontId="17" fillId="0" borderId="0" xfId="1193" applyFont="1" applyAlignment="1">
      <alignment horizontal="left" vertical="top" wrapText="1"/>
    </xf>
    <xf numFmtId="0" fontId="10" fillId="0" borderId="0" xfId="1193" applyAlignment="1">
      <alignment horizontal="left" wrapText="1"/>
    </xf>
    <xf numFmtId="4" fontId="10" fillId="0" borderId="0" xfId="0" applyNumberFormat="1" applyFont="1" applyAlignment="1">
      <alignment horizontal="left"/>
    </xf>
    <xf numFmtId="0" fontId="28" fillId="0" borderId="0" xfId="570" applyFont="1" applyAlignment="1">
      <alignment horizontal="left" vertical="top"/>
    </xf>
    <xf numFmtId="0" fontId="28" fillId="0" borderId="0" xfId="0" applyFont="1" applyAlignment="1">
      <alignment horizontal="left" vertical="top"/>
    </xf>
    <xf numFmtId="0" fontId="10" fillId="0" borderId="0" xfId="0" applyFont="1" applyAlignment="1">
      <alignment horizontal="left" vertical="center" wrapText="1"/>
    </xf>
    <xf numFmtId="0" fontId="10" fillId="0" borderId="11" xfId="0" applyFont="1" applyBorder="1" applyAlignment="1" applyProtection="1">
      <alignment horizontal="center"/>
    </xf>
    <xf numFmtId="0" fontId="0" fillId="0" borderId="11" xfId="0" applyBorder="1" applyAlignment="1" applyProtection="1">
      <alignment horizontal="center"/>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0" fontId="19" fillId="0" borderId="11" xfId="0" applyFont="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0" fillId="5" borderId="6"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xf>
    <xf numFmtId="0" fontId="19" fillId="5" borderId="6" xfId="271" applyFont="1" applyFill="1" applyBorder="1" applyAlignment="1" applyProtection="1">
      <protection locked="0"/>
    </xf>
    <xf numFmtId="0" fontId="0" fillId="5" borderId="3" xfId="0" quotePrefix="1" applyNumberForma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6" xfId="0" applyFill="1" applyBorder="1" applyAlignment="1" applyProtection="1">
      <alignment horizontal="left"/>
    </xf>
    <xf numFmtId="166" fontId="19" fillId="5" borderId="4" xfId="0" applyNumberFormat="1"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7" fillId="0" borderId="0" xfId="0"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19" fillId="0" borderId="11" xfId="0" applyFont="1" applyFill="1" applyBorder="1" applyAlignment="1" applyProtection="1">
      <alignment horizontal="center" vertical="top" wrapText="1"/>
    </xf>
    <xf numFmtId="0" fontId="17" fillId="0" borderId="17" xfId="0" applyFont="1" applyFill="1" applyBorder="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0" fillId="0" borderId="0" xfId="543" applyFont="1" applyFill="1" applyAlignment="1" applyProtection="1">
      <alignment horizontal="center"/>
    </xf>
    <xf numFmtId="14" fontId="0" fillId="5" borderId="6" xfId="0" applyNumberFormat="1" applyFill="1" applyBorder="1" applyAlignment="1" applyProtection="1">
      <alignment horizontal="center"/>
      <protection locked="0"/>
    </xf>
    <xf numFmtId="168" fontId="0" fillId="0" borderId="11" xfId="0" applyNumberFormat="1" applyFill="1" applyBorder="1" applyAlignment="1" applyProtection="1">
      <alignment horizontal="right"/>
    </xf>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19" fillId="0" borderId="0" xfId="0" applyFont="1" applyAlignment="1" applyProtection="1">
      <alignment horizontal="left" vertical="top" wrapText="1"/>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2" fontId="10" fillId="0" borderId="0" xfId="543" applyNumberFormat="1" applyFont="1" applyFill="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0" fontId="17" fillId="0" borderId="6" xfId="0" applyFont="1" applyBorder="1" applyAlignment="1" applyProtection="1">
      <alignment horizontal="center"/>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4" fontId="0" fillId="5" borderId="11"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0" fontId="19" fillId="5" borderId="4" xfId="0" applyNumberFormat="1" applyFont="1" applyFill="1" applyBorder="1" applyAlignment="1" applyProtection="1">
      <alignment horizontal="right"/>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166" fontId="19" fillId="5" borderId="6" xfId="0" applyNumberFormat="1"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44" borderId="6" xfId="0" applyFill="1" applyBorder="1" applyAlignment="1" applyProtection="1">
      <alignment horizontal="left" vertical="top" wrapText="1"/>
      <protection locked="0"/>
    </xf>
    <xf numFmtId="0" fontId="10"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6" fontId="10"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173"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44"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6" xfId="0" applyFont="1" applyFill="1" applyBorder="1" applyAlignment="1" applyProtection="1">
      <alignment horizontal="left"/>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10" fontId="0" fillId="44" borderId="6" xfId="0" applyNumberFormat="1" applyFill="1" applyBorder="1" applyAlignment="1" applyProtection="1">
      <alignment horizontal="center"/>
      <protection locked="0"/>
    </xf>
    <xf numFmtId="0" fontId="10" fillId="0" borderId="6" xfId="0"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8" fontId="10" fillId="5" borderId="4" xfId="0" applyNumberFormat="1" applyFont="1" applyFill="1" applyBorder="1" applyAlignment="1" applyProtection="1">
      <alignment horizontal="right"/>
      <protection locked="0"/>
    </xf>
    <xf numFmtId="0" fontId="0" fillId="44" borderId="6"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75" fontId="0" fillId="5" borderId="4"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9" fillId="5" borderId="11" xfId="0" applyFont="1" applyFill="1" applyBorder="1" applyAlignment="1" applyProtection="1">
      <alignment horizontal="center"/>
      <protection locked="0"/>
    </xf>
    <xf numFmtId="0" fontId="0" fillId="0" borderId="5" xfId="0" applyBorder="1" applyAlignment="1" applyProtection="1">
      <alignment horizontal="left"/>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9" fillId="0" borderId="11" xfId="0" applyNumberFormat="1"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 fontId="19" fillId="5" borderId="11" xfId="0" quotePrefix="1" applyNumberFormat="1" applyFont="1" applyFill="1" applyBorder="1" applyAlignment="1" applyProtection="1">
      <alignment horizontal="center"/>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7" fillId="0" borderId="9" xfId="0" applyFont="1" applyFill="1" applyBorder="1" applyAlignment="1" applyProtection="1">
      <alignment horizontal="center"/>
    </xf>
    <xf numFmtId="0" fontId="0" fillId="0" borderId="6" xfId="0"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0" fillId="0" borderId="6" xfId="543" applyFont="1" applyBorder="1" applyAlignment="1" applyProtection="1">
      <alignment horizontal="left"/>
    </xf>
    <xf numFmtId="0" fontId="18" fillId="44"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0" fillId="5" borderId="4" xfId="0" applyNumberFormat="1" applyFont="1" applyFill="1" applyBorder="1" applyAlignment="1" applyProtection="1">
      <alignment horizontal="left" vertical="top"/>
      <protection locked="0"/>
    </xf>
    <xf numFmtId="168" fontId="10"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44" borderId="6" xfId="1193" applyFont="1" applyFill="1" applyBorder="1" applyAlignment="1" applyProtection="1">
      <alignment horizontal="left" vertical="top"/>
      <protection locked="0"/>
    </xf>
    <xf numFmtId="0" fontId="10" fillId="5" borderId="6" xfId="4496" applyFont="1" applyFill="1" applyBorder="1" applyAlignment="1" applyProtection="1">
      <alignment horizontal="left" wrapText="1" shrinkToFit="1"/>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0" fontId="10" fillId="44" borderId="4" xfId="0" applyFont="1" applyFill="1" applyBorder="1" applyAlignment="1" applyProtection="1">
      <alignment horizontal="center"/>
      <protection locked="0"/>
    </xf>
    <xf numFmtId="14" fontId="10" fillId="5" borderId="3" xfId="0" quotePrefix="1" applyNumberFormat="1" applyFont="1" applyFill="1" applyBorder="1" applyAlignment="1" applyProtection="1">
      <alignment horizontal="right"/>
      <protection locked="0"/>
    </xf>
  </cellXfs>
  <cellStyles count="8717">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3" xr:uid="{00000000-0005-0000-0000-00008F0E0000}"/>
    <cellStyle name="Normal 2 4 2 10 3" xfId="6328" xr:uid="{00000000-0005-0000-0000-0000900E0000}"/>
    <cellStyle name="Normal 2 4 2 11" xfId="2457" xr:uid="{00000000-0005-0000-0000-0000910E0000}"/>
    <cellStyle name="Normal 2 4 2 11 2" xfId="6741" xr:uid="{00000000-0005-0000-0000-0000920E0000}"/>
    <cellStyle name="Normal 2 4 2 12" xfId="4675" xr:uid="{00000000-0005-0000-0000-0000930E0000}"/>
    <cellStyle name="Normal 2 4 2 2" xfId="280" xr:uid="{00000000-0005-0000-0000-0000940E0000}"/>
    <cellStyle name="Normal 2 4 2 3" xfId="281" xr:uid="{00000000-0005-0000-0000-0000950E0000}"/>
    <cellStyle name="Normal 2 4 2 3 10" xfId="4676"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8" xr:uid="{00000000-0005-0000-0000-00009C0E0000}"/>
    <cellStyle name="Normal 2 4 2 3 2 2 2 2 3" xfId="5093" xr:uid="{00000000-0005-0000-0000-00009D0E0000}"/>
    <cellStyle name="Normal 2 4 2 3 2 2 2 3" xfId="1198" xr:uid="{00000000-0005-0000-0000-00009E0E0000}"/>
    <cellStyle name="Normal 2 4 2 3 2 2 2 3 2" xfId="3428" xr:uid="{00000000-0005-0000-0000-00009F0E0000}"/>
    <cellStyle name="Normal 2 4 2 3 2 2 2 3 2 2" xfId="7651" xr:uid="{00000000-0005-0000-0000-0000A00E0000}"/>
    <cellStyle name="Normal 2 4 2 3 2 2 2 3 3" xfId="5506" xr:uid="{00000000-0005-0000-0000-0000A10E0000}"/>
    <cellStyle name="Normal 2 4 2 3 2 2 2 4" xfId="1611" xr:uid="{00000000-0005-0000-0000-0000A20E0000}"/>
    <cellStyle name="Normal 2 4 2 3 2 2 2 4 2" xfId="3841" xr:uid="{00000000-0005-0000-0000-0000A30E0000}"/>
    <cellStyle name="Normal 2 4 2 3 2 2 2 4 2 2" xfId="8064" xr:uid="{00000000-0005-0000-0000-0000A40E0000}"/>
    <cellStyle name="Normal 2 4 2 3 2 2 2 4 3" xfId="5919" xr:uid="{00000000-0005-0000-0000-0000A50E0000}"/>
    <cellStyle name="Normal 2 4 2 3 2 2 2 5" xfId="2025" xr:uid="{00000000-0005-0000-0000-0000A60E0000}"/>
    <cellStyle name="Normal 2 4 2 3 2 2 2 5 2" xfId="4254" xr:uid="{00000000-0005-0000-0000-0000A70E0000}"/>
    <cellStyle name="Normal 2 4 2 3 2 2 2 5 2 2" xfId="8477" xr:uid="{00000000-0005-0000-0000-0000A80E0000}"/>
    <cellStyle name="Normal 2 4 2 3 2 2 2 5 3" xfId="6332" xr:uid="{00000000-0005-0000-0000-0000A90E0000}"/>
    <cellStyle name="Normal 2 4 2 3 2 2 2 6" xfId="2461" xr:uid="{00000000-0005-0000-0000-0000AA0E0000}"/>
    <cellStyle name="Normal 2 4 2 3 2 2 2 6 2" xfId="6745" xr:uid="{00000000-0005-0000-0000-0000AB0E0000}"/>
    <cellStyle name="Normal 2 4 2 3 2 2 2 7" xfId="4679" xr:uid="{00000000-0005-0000-0000-0000AC0E0000}"/>
    <cellStyle name="Normal 2 4 2 3 2 2 3" xfId="775" xr:uid="{00000000-0005-0000-0000-0000AD0E0000}"/>
    <cellStyle name="Normal 2 4 2 3 2 2 3 2" xfId="3014" xr:uid="{00000000-0005-0000-0000-0000AE0E0000}"/>
    <cellStyle name="Normal 2 4 2 3 2 2 3 2 2" xfId="7237" xr:uid="{00000000-0005-0000-0000-0000AF0E0000}"/>
    <cellStyle name="Normal 2 4 2 3 2 2 3 3" xfId="5092" xr:uid="{00000000-0005-0000-0000-0000B00E0000}"/>
    <cellStyle name="Normal 2 4 2 3 2 2 4" xfId="1197" xr:uid="{00000000-0005-0000-0000-0000B10E0000}"/>
    <cellStyle name="Normal 2 4 2 3 2 2 4 2" xfId="3427" xr:uid="{00000000-0005-0000-0000-0000B20E0000}"/>
    <cellStyle name="Normal 2 4 2 3 2 2 4 2 2" xfId="7650" xr:uid="{00000000-0005-0000-0000-0000B30E0000}"/>
    <cellStyle name="Normal 2 4 2 3 2 2 4 3" xfId="5505" xr:uid="{00000000-0005-0000-0000-0000B40E0000}"/>
    <cellStyle name="Normal 2 4 2 3 2 2 5" xfId="1610" xr:uid="{00000000-0005-0000-0000-0000B50E0000}"/>
    <cellStyle name="Normal 2 4 2 3 2 2 5 2" xfId="3840" xr:uid="{00000000-0005-0000-0000-0000B60E0000}"/>
    <cellStyle name="Normal 2 4 2 3 2 2 5 2 2" xfId="8063" xr:uid="{00000000-0005-0000-0000-0000B70E0000}"/>
    <cellStyle name="Normal 2 4 2 3 2 2 5 3" xfId="5918" xr:uid="{00000000-0005-0000-0000-0000B80E0000}"/>
    <cellStyle name="Normal 2 4 2 3 2 2 6" xfId="2024" xr:uid="{00000000-0005-0000-0000-0000B90E0000}"/>
    <cellStyle name="Normal 2 4 2 3 2 2 6 2" xfId="4253" xr:uid="{00000000-0005-0000-0000-0000BA0E0000}"/>
    <cellStyle name="Normal 2 4 2 3 2 2 6 2 2" xfId="8476" xr:uid="{00000000-0005-0000-0000-0000BB0E0000}"/>
    <cellStyle name="Normal 2 4 2 3 2 2 6 3" xfId="6331" xr:uid="{00000000-0005-0000-0000-0000BC0E0000}"/>
    <cellStyle name="Normal 2 4 2 3 2 2 7" xfId="2460" xr:uid="{00000000-0005-0000-0000-0000BD0E0000}"/>
    <cellStyle name="Normal 2 4 2 3 2 2 7 2" xfId="6744" xr:uid="{00000000-0005-0000-0000-0000BE0E0000}"/>
    <cellStyle name="Normal 2 4 2 3 2 2 8" xfId="4678"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39" xr:uid="{00000000-0005-0000-0000-0000C30E0000}"/>
    <cellStyle name="Normal 2 4 2 3 2 3 2 3" xfId="5094" xr:uid="{00000000-0005-0000-0000-0000C40E0000}"/>
    <cellStyle name="Normal 2 4 2 3 2 3 3" xfId="1199" xr:uid="{00000000-0005-0000-0000-0000C50E0000}"/>
    <cellStyle name="Normal 2 4 2 3 2 3 3 2" xfId="3429" xr:uid="{00000000-0005-0000-0000-0000C60E0000}"/>
    <cellStyle name="Normal 2 4 2 3 2 3 3 2 2" xfId="7652" xr:uid="{00000000-0005-0000-0000-0000C70E0000}"/>
    <cellStyle name="Normal 2 4 2 3 2 3 3 3" xfId="5507" xr:uid="{00000000-0005-0000-0000-0000C80E0000}"/>
    <cellStyle name="Normal 2 4 2 3 2 3 4" xfId="1612" xr:uid="{00000000-0005-0000-0000-0000C90E0000}"/>
    <cellStyle name="Normal 2 4 2 3 2 3 4 2" xfId="3842" xr:uid="{00000000-0005-0000-0000-0000CA0E0000}"/>
    <cellStyle name="Normal 2 4 2 3 2 3 4 2 2" xfId="8065" xr:uid="{00000000-0005-0000-0000-0000CB0E0000}"/>
    <cellStyle name="Normal 2 4 2 3 2 3 4 3" xfId="5920" xr:uid="{00000000-0005-0000-0000-0000CC0E0000}"/>
    <cellStyle name="Normal 2 4 2 3 2 3 5" xfId="2026" xr:uid="{00000000-0005-0000-0000-0000CD0E0000}"/>
    <cellStyle name="Normal 2 4 2 3 2 3 5 2" xfId="4255" xr:uid="{00000000-0005-0000-0000-0000CE0E0000}"/>
    <cellStyle name="Normal 2 4 2 3 2 3 5 2 2" xfId="8478" xr:uid="{00000000-0005-0000-0000-0000CF0E0000}"/>
    <cellStyle name="Normal 2 4 2 3 2 3 5 3" xfId="6333" xr:uid="{00000000-0005-0000-0000-0000D00E0000}"/>
    <cellStyle name="Normal 2 4 2 3 2 3 6" xfId="2462" xr:uid="{00000000-0005-0000-0000-0000D10E0000}"/>
    <cellStyle name="Normal 2 4 2 3 2 3 6 2" xfId="6746" xr:uid="{00000000-0005-0000-0000-0000D20E0000}"/>
    <cellStyle name="Normal 2 4 2 3 2 3 7" xfId="4680" xr:uid="{00000000-0005-0000-0000-0000D30E0000}"/>
    <cellStyle name="Normal 2 4 2 3 2 4" xfId="774" xr:uid="{00000000-0005-0000-0000-0000D40E0000}"/>
    <cellStyle name="Normal 2 4 2 3 2 4 2" xfId="3013" xr:uid="{00000000-0005-0000-0000-0000D50E0000}"/>
    <cellStyle name="Normal 2 4 2 3 2 4 2 2" xfId="7236" xr:uid="{00000000-0005-0000-0000-0000D60E0000}"/>
    <cellStyle name="Normal 2 4 2 3 2 4 3" xfId="5091" xr:uid="{00000000-0005-0000-0000-0000D70E0000}"/>
    <cellStyle name="Normal 2 4 2 3 2 5" xfId="1196" xr:uid="{00000000-0005-0000-0000-0000D80E0000}"/>
    <cellStyle name="Normal 2 4 2 3 2 5 2" xfId="3426" xr:uid="{00000000-0005-0000-0000-0000D90E0000}"/>
    <cellStyle name="Normal 2 4 2 3 2 5 2 2" xfId="7649" xr:uid="{00000000-0005-0000-0000-0000DA0E0000}"/>
    <cellStyle name="Normal 2 4 2 3 2 5 3" xfId="5504" xr:uid="{00000000-0005-0000-0000-0000DB0E0000}"/>
    <cellStyle name="Normal 2 4 2 3 2 6" xfId="1609" xr:uid="{00000000-0005-0000-0000-0000DC0E0000}"/>
    <cellStyle name="Normal 2 4 2 3 2 6 2" xfId="3839" xr:uid="{00000000-0005-0000-0000-0000DD0E0000}"/>
    <cellStyle name="Normal 2 4 2 3 2 6 2 2" xfId="8062" xr:uid="{00000000-0005-0000-0000-0000DE0E0000}"/>
    <cellStyle name="Normal 2 4 2 3 2 6 3" xfId="5917" xr:uid="{00000000-0005-0000-0000-0000DF0E0000}"/>
    <cellStyle name="Normal 2 4 2 3 2 7" xfId="2023" xr:uid="{00000000-0005-0000-0000-0000E00E0000}"/>
    <cellStyle name="Normal 2 4 2 3 2 7 2" xfId="4252" xr:uid="{00000000-0005-0000-0000-0000E10E0000}"/>
    <cellStyle name="Normal 2 4 2 3 2 7 2 2" xfId="8475" xr:uid="{00000000-0005-0000-0000-0000E20E0000}"/>
    <cellStyle name="Normal 2 4 2 3 2 7 3" xfId="6330" xr:uid="{00000000-0005-0000-0000-0000E30E0000}"/>
    <cellStyle name="Normal 2 4 2 3 2 8" xfId="2459" xr:uid="{00000000-0005-0000-0000-0000E40E0000}"/>
    <cellStyle name="Normal 2 4 2 3 2 8 2" xfId="6743" xr:uid="{00000000-0005-0000-0000-0000E50E0000}"/>
    <cellStyle name="Normal 2 4 2 3 2 9" xfId="4677"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1" xr:uid="{00000000-0005-0000-0000-0000EB0E0000}"/>
    <cellStyle name="Normal 2 4 2 3 3 2 2 3" xfId="5096" xr:uid="{00000000-0005-0000-0000-0000EC0E0000}"/>
    <cellStyle name="Normal 2 4 2 3 3 2 3" xfId="1201" xr:uid="{00000000-0005-0000-0000-0000ED0E0000}"/>
    <cellStyle name="Normal 2 4 2 3 3 2 3 2" xfId="3431" xr:uid="{00000000-0005-0000-0000-0000EE0E0000}"/>
    <cellStyle name="Normal 2 4 2 3 3 2 3 2 2" xfId="7654" xr:uid="{00000000-0005-0000-0000-0000EF0E0000}"/>
    <cellStyle name="Normal 2 4 2 3 3 2 3 3" xfId="5509" xr:uid="{00000000-0005-0000-0000-0000F00E0000}"/>
    <cellStyle name="Normal 2 4 2 3 3 2 4" xfId="1614" xr:uid="{00000000-0005-0000-0000-0000F10E0000}"/>
    <cellStyle name="Normal 2 4 2 3 3 2 4 2" xfId="3844" xr:uid="{00000000-0005-0000-0000-0000F20E0000}"/>
    <cellStyle name="Normal 2 4 2 3 3 2 4 2 2" xfId="8067" xr:uid="{00000000-0005-0000-0000-0000F30E0000}"/>
    <cellStyle name="Normal 2 4 2 3 3 2 4 3" xfId="5922" xr:uid="{00000000-0005-0000-0000-0000F40E0000}"/>
    <cellStyle name="Normal 2 4 2 3 3 2 5" xfId="2028" xr:uid="{00000000-0005-0000-0000-0000F50E0000}"/>
    <cellStyle name="Normal 2 4 2 3 3 2 5 2" xfId="4257" xr:uid="{00000000-0005-0000-0000-0000F60E0000}"/>
    <cellStyle name="Normal 2 4 2 3 3 2 5 2 2" xfId="8480" xr:uid="{00000000-0005-0000-0000-0000F70E0000}"/>
    <cellStyle name="Normal 2 4 2 3 3 2 5 3" xfId="6335" xr:uid="{00000000-0005-0000-0000-0000F80E0000}"/>
    <cellStyle name="Normal 2 4 2 3 3 2 6" xfId="2464" xr:uid="{00000000-0005-0000-0000-0000F90E0000}"/>
    <cellStyle name="Normal 2 4 2 3 3 2 6 2" xfId="6748" xr:uid="{00000000-0005-0000-0000-0000FA0E0000}"/>
    <cellStyle name="Normal 2 4 2 3 3 2 7" xfId="4682" xr:uid="{00000000-0005-0000-0000-0000FB0E0000}"/>
    <cellStyle name="Normal 2 4 2 3 3 3" xfId="778" xr:uid="{00000000-0005-0000-0000-0000FC0E0000}"/>
    <cellStyle name="Normal 2 4 2 3 3 3 2" xfId="3017" xr:uid="{00000000-0005-0000-0000-0000FD0E0000}"/>
    <cellStyle name="Normal 2 4 2 3 3 3 2 2" xfId="7240" xr:uid="{00000000-0005-0000-0000-0000FE0E0000}"/>
    <cellStyle name="Normal 2 4 2 3 3 3 3" xfId="5095" xr:uid="{00000000-0005-0000-0000-0000FF0E0000}"/>
    <cellStyle name="Normal 2 4 2 3 3 4" xfId="1200" xr:uid="{00000000-0005-0000-0000-0000000F0000}"/>
    <cellStyle name="Normal 2 4 2 3 3 4 2" xfId="3430" xr:uid="{00000000-0005-0000-0000-0000010F0000}"/>
    <cellStyle name="Normal 2 4 2 3 3 4 2 2" xfId="7653" xr:uid="{00000000-0005-0000-0000-0000020F0000}"/>
    <cellStyle name="Normal 2 4 2 3 3 4 3" xfId="5508" xr:uid="{00000000-0005-0000-0000-0000030F0000}"/>
    <cellStyle name="Normal 2 4 2 3 3 5" xfId="1613" xr:uid="{00000000-0005-0000-0000-0000040F0000}"/>
    <cellStyle name="Normal 2 4 2 3 3 5 2" xfId="3843" xr:uid="{00000000-0005-0000-0000-0000050F0000}"/>
    <cellStyle name="Normal 2 4 2 3 3 5 2 2" xfId="8066" xr:uid="{00000000-0005-0000-0000-0000060F0000}"/>
    <cellStyle name="Normal 2 4 2 3 3 5 3" xfId="5921" xr:uid="{00000000-0005-0000-0000-0000070F0000}"/>
    <cellStyle name="Normal 2 4 2 3 3 6" xfId="2027" xr:uid="{00000000-0005-0000-0000-0000080F0000}"/>
    <cellStyle name="Normal 2 4 2 3 3 6 2" xfId="4256" xr:uid="{00000000-0005-0000-0000-0000090F0000}"/>
    <cellStyle name="Normal 2 4 2 3 3 6 2 2" xfId="8479" xr:uid="{00000000-0005-0000-0000-00000A0F0000}"/>
    <cellStyle name="Normal 2 4 2 3 3 6 3" xfId="6334" xr:uid="{00000000-0005-0000-0000-00000B0F0000}"/>
    <cellStyle name="Normal 2 4 2 3 3 7" xfId="2463" xr:uid="{00000000-0005-0000-0000-00000C0F0000}"/>
    <cellStyle name="Normal 2 4 2 3 3 7 2" xfId="6747" xr:uid="{00000000-0005-0000-0000-00000D0F0000}"/>
    <cellStyle name="Normal 2 4 2 3 3 8" xfId="4681"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2" xr:uid="{00000000-0005-0000-0000-0000120F0000}"/>
    <cellStyle name="Normal 2 4 2 3 4 2 3" xfId="5097" xr:uid="{00000000-0005-0000-0000-0000130F0000}"/>
    <cellStyle name="Normal 2 4 2 3 4 3" xfId="1202" xr:uid="{00000000-0005-0000-0000-0000140F0000}"/>
    <cellStyle name="Normal 2 4 2 3 4 3 2" xfId="3432" xr:uid="{00000000-0005-0000-0000-0000150F0000}"/>
    <cellStyle name="Normal 2 4 2 3 4 3 2 2" xfId="7655" xr:uid="{00000000-0005-0000-0000-0000160F0000}"/>
    <cellStyle name="Normal 2 4 2 3 4 3 3" xfId="5510" xr:uid="{00000000-0005-0000-0000-0000170F0000}"/>
    <cellStyle name="Normal 2 4 2 3 4 4" xfId="1615" xr:uid="{00000000-0005-0000-0000-0000180F0000}"/>
    <cellStyle name="Normal 2 4 2 3 4 4 2" xfId="3845" xr:uid="{00000000-0005-0000-0000-0000190F0000}"/>
    <cellStyle name="Normal 2 4 2 3 4 4 2 2" xfId="8068" xr:uid="{00000000-0005-0000-0000-00001A0F0000}"/>
    <cellStyle name="Normal 2 4 2 3 4 4 3" xfId="5923" xr:uid="{00000000-0005-0000-0000-00001B0F0000}"/>
    <cellStyle name="Normal 2 4 2 3 4 5" xfId="2029" xr:uid="{00000000-0005-0000-0000-00001C0F0000}"/>
    <cellStyle name="Normal 2 4 2 3 4 5 2" xfId="4258" xr:uid="{00000000-0005-0000-0000-00001D0F0000}"/>
    <cellStyle name="Normal 2 4 2 3 4 5 2 2" xfId="8481" xr:uid="{00000000-0005-0000-0000-00001E0F0000}"/>
    <cellStyle name="Normal 2 4 2 3 4 5 3" xfId="6336" xr:uid="{00000000-0005-0000-0000-00001F0F0000}"/>
    <cellStyle name="Normal 2 4 2 3 4 6" xfId="2465" xr:uid="{00000000-0005-0000-0000-0000200F0000}"/>
    <cellStyle name="Normal 2 4 2 3 4 6 2" xfId="6749" xr:uid="{00000000-0005-0000-0000-0000210F0000}"/>
    <cellStyle name="Normal 2 4 2 3 4 7" xfId="4683" xr:uid="{00000000-0005-0000-0000-0000220F0000}"/>
    <cellStyle name="Normal 2 4 2 3 5" xfId="773" xr:uid="{00000000-0005-0000-0000-0000230F0000}"/>
    <cellStyle name="Normal 2 4 2 3 5 2" xfId="3012" xr:uid="{00000000-0005-0000-0000-0000240F0000}"/>
    <cellStyle name="Normal 2 4 2 3 5 2 2" xfId="7235" xr:uid="{00000000-0005-0000-0000-0000250F0000}"/>
    <cellStyle name="Normal 2 4 2 3 5 3" xfId="5090" xr:uid="{00000000-0005-0000-0000-0000260F0000}"/>
    <cellStyle name="Normal 2 4 2 3 6" xfId="1195" xr:uid="{00000000-0005-0000-0000-0000270F0000}"/>
    <cellStyle name="Normal 2 4 2 3 6 2" xfId="3425" xr:uid="{00000000-0005-0000-0000-0000280F0000}"/>
    <cellStyle name="Normal 2 4 2 3 6 2 2" xfId="7648" xr:uid="{00000000-0005-0000-0000-0000290F0000}"/>
    <cellStyle name="Normal 2 4 2 3 6 3" xfId="5503" xr:uid="{00000000-0005-0000-0000-00002A0F0000}"/>
    <cellStyle name="Normal 2 4 2 3 7" xfId="1608" xr:uid="{00000000-0005-0000-0000-00002B0F0000}"/>
    <cellStyle name="Normal 2 4 2 3 7 2" xfId="3838" xr:uid="{00000000-0005-0000-0000-00002C0F0000}"/>
    <cellStyle name="Normal 2 4 2 3 7 2 2" xfId="8061" xr:uid="{00000000-0005-0000-0000-00002D0F0000}"/>
    <cellStyle name="Normal 2 4 2 3 7 3" xfId="5916" xr:uid="{00000000-0005-0000-0000-00002E0F0000}"/>
    <cellStyle name="Normal 2 4 2 3 8" xfId="2022" xr:uid="{00000000-0005-0000-0000-00002F0F0000}"/>
    <cellStyle name="Normal 2 4 2 3 8 2" xfId="4251" xr:uid="{00000000-0005-0000-0000-0000300F0000}"/>
    <cellStyle name="Normal 2 4 2 3 8 2 2" xfId="8474" xr:uid="{00000000-0005-0000-0000-0000310F0000}"/>
    <cellStyle name="Normal 2 4 2 3 8 3" xfId="6329" xr:uid="{00000000-0005-0000-0000-0000320F0000}"/>
    <cellStyle name="Normal 2 4 2 3 9" xfId="2458" xr:uid="{00000000-0005-0000-0000-0000330F0000}"/>
    <cellStyle name="Normal 2 4 2 3 9 2" xfId="6742"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5" xr:uid="{00000000-0005-0000-0000-00003A0F0000}"/>
    <cellStyle name="Normal 2 4 2 4 2 2 2 3" xfId="5100" xr:uid="{00000000-0005-0000-0000-00003B0F0000}"/>
    <cellStyle name="Normal 2 4 2 4 2 2 3" xfId="1205" xr:uid="{00000000-0005-0000-0000-00003C0F0000}"/>
    <cellStyle name="Normal 2 4 2 4 2 2 3 2" xfId="3435" xr:uid="{00000000-0005-0000-0000-00003D0F0000}"/>
    <cellStyle name="Normal 2 4 2 4 2 2 3 2 2" xfId="7658" xr:uid="{00000000-0005-0000-0000-00003E0F0000}"/>
    <cellStyle name="Normal 2 4 2 4 2 2 3 3" xfId="5513" xr:uid="{00000000-0005-0000-0000-00003F0F0000}"/>
    <cellStyle name="Normal 2 4 2 4 2 2 4" xfId="1618" xr:uid="{00000000-0005-0000-0000-0000400F0000}"/>
    <cellStyle name="Normal 2 4 2 4 2 2 4 2" xfId="3848" xr:uid="{00000000-0005-0000-0000-0000410F0000}"/>
    <cellStyle name="Normal 2 4 2 4 2 2 4 2 2" xfId="8071" xr:uid="{00000000-0005-0000-0000-0000420F0000}"/>
    <cellStyle name="Normal 2 4 2 4 2 2 4 3" xfId="5926" xr:uid="{00000000-0005-0000-0000-0000430F0000}"/>
    <cellStyle name="Normal 2 4 2 4 2 2 5" xfId="2032" xr:uid="{00000000-0005-0000-0000-0000440F0000}"/>
    <cellStyle name="Normal 2 4 2 4 2 2 5 2" xfId="4261" xr:uid="{00000000-0005-0000-0000-0000450F0000}"/>
    <cellStyle name="Normal 2 4 2 4 2 2 5 2 2" xfId="8484" xr:uid="{00000000-0005-0000-0000-0000460F0000}"/>
    <cellStyle name="Normal 2 4 2 4 2 2 5 3" xfId="6339" xr:uid="{00000000-0005-0000-0000-0000470F0000}"/>
    <cellStyle name="Normal 2 4 2 4 2 2 6" xfId="2468" xr:uid="{00000000-0005-0000-0000-0000480F0000}"/>
    <cellStyle name="Normal 2 4 2 4 2 2 6 2" xfId="6752" xr:uid="{00000000-0005-0000-0000-0000490F0000}"/>
    <cellStyle name="Normal 2 4 2 4 2 2 7" xfId="4686" xr:uid="{00000000-0005-0000-0000-00004A0F0000}"/>
    <cellStyle name="Normal 2 4 2 4 2 3" xfId="782" xr:uid="{00000000-0005-0000-0000-00004B0F0000}"/>
    <cellStyle name="Normal 2 4 2 4 2 3 2" xfId="3021" xr:uid="{00000000-0005-0000-0000-00004C0F0000}"/>
    <cellStyle name="Normal 2 4 2 4 2 3 2 2" xfId="7244" xr:uid="{00000000-0005-0000-0000-00004D0F0000}"/>
    <cellStyle name="Normal 2 4 2 4 2 3 3" xfId="5099" xr:uid="{00000000-0005-0000-0000-00004E0F0000}"/>
    <cellStyle name="Normal 2 4 2 4 2 4" xfId="1204" xr:uid="{00000000-0005-0000-0000-00004F0F0000}"/>
    <cellStyle name="Normal 2 4 2 4 2 4 2" xfId="3434" xr:uid="{00000000-0005-0000-0000-0000500F0000}"/>
    <cellStyle name="Normal 2 4 2 4 2 4 2 2" xfId="7657" xr:uid="{00000000-0005-0000-0000-0000510F0000}"/>
    <cellStyle name="Normal 2 4 2 4 2 4 3" xfId="5512" xr:uid="{00000000-0005-0000-0000-0000520F0000}"/>
    <cellStyle name="Normal 2 4 2 4 2 5" xfId="1617" xr:uid="{00000000-0005-0000-0000-0000530F0000}"/>
    <cellStyle name="Normal 2 4 2 4 2 5 2" xfId="3847" xr:uid="{00000000-0005-0000-0000-0000540F0000}"/>
    <cellStyle name="Normal 2 4 2 4 2 5 2 2" xfId="8070" xr:uid="{00000000-0005-0000-0000-0000550F0000}"/>
    <cellStyle name="Normal 2 4 2 4 2 5 3" xfId="5925" xr:uid="{00000000-0005-0000-0000-0000560F0000}"/>
    <cellStyle name="Normal 2 4 2 4 2 6" xfId="2031" xr:uid="{00000000-0005-0000-0000-0000570F0000}"/>
    <cellStyle name="Normal 2 4 2 4 2 6 2" xfId="4260" xr:uid="{00000000-0005-0000-0000-0000580F0000}"/>
    <cellStyle name="Normal 2 4 2 4 2 6 2 2" xfId="8483" xr:uid="{00000000-0005-0000-0000-0000590F0000}"/>
    <cellStyle name="Normal 2 4 2 4 2 6 3" xfId="6338" xr:uid="{00000000-0005-0000-0000-00005A0F0000}"/>
    <cellStyle name="Normal 2 4 2 4 2 7" xfId="2467" xr:uid="{00000000-0005-0000-0000-00005B0F0000}"/>
    <cellStyle name="Normal 2 4 2 4 2 7 2" xfId="6751" xr:uid="{00000000-0005-0000-0000-00005C0F0000}"/>
    <cellStyle name="Normal 2 4 2 4 2 8" xfId="4685"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6" xr:uid="{00000000-0005-0000-0000-0000610F0000}"/>
    <cellStyle name="Normal 2 4 2 4 3 2 3" xfId="5101" xr:uid="{00000000-0005-0000-0000-0000620F0000}"/>
    <cellStyle name="Normal 2 4 2 4 3 3" xfId="1206" xr:uid="{00000000-0005-0000-0000-0000630F0000}"/>
    <cellStyle name="Normal 2 4 2 4 3 3 2" xfId="3436" xr:uid="{00000000-0005-0000-0000-0000640F0000}"/>
    <cellStyle name="Normal 2 4 2 4 3 3 2 2" xfId="7659" xr:uid="{00000000-0005-0000-0000-0000650F0000}"/>
    <cellStyle name="Normal 2 4 2 4 3 3 3" xfId="5514" xr:uid="{00000000-0005-0000-0000-0000660F0000}"/>
    <cellStyle name="Normal 2 4 2 4 3 4" xfId="1619" xr:uid="{00000000-0005-0000-0000-0000670F0000}"/>
    <cellStyle name="Normal 2 4 2 4 3 4 2" xfId="3849" xr:uid="{00000000-0005-0000-0000-0000680F0000}"/>
    <cellStyle name="Normal 2 4 2 4 3 4 2 2" xfId="8072" xr:uid="{00000000-0005-0000-0000-0000690F0000}"/>
    <cellStyle name="Normal 2 4 2 4 3 4 3" xfId="5927" xr:uid="{00000000-0005-0000-0000-00006A0F0000}"/>
    <cellStyle name="Normal 2 4 2 4 3 5" xfId="2033" xr:uid="{00000000-0005-0000-0000-00006B0F0000}"/>
    <cellStyle name="Normal 2 4 2 4 3 5 2" xfId="4262" xr:uid="{00000000-0005-0000-0000-00006C0F0000}"/>
    <cellStyle name="Normal 2 4 2 4 3 5 2 2" xfId="8485" xr:uid="{00000000-0005-0000-0000-00006D0F0000}"/>
    <cellStyle name="Normal 2 4 2 4 3 5 3" xfId="6340" xr:uid="{00000000-0005-0000-0000-00006E0F0000}"/>
    <cellStyle name="Normal 2 4 2 4 3 6" xfId="2469" xr:uid="{00000000-0005-0000-0000-00006F0F0000}"/>
    <cellStyle name="Normal 2 4 2 4 3 6 2" xfId="6753" xr:uid="{00000000-0005-0000-0000-0000700F0000}"/>
    <cellStyle name="Normal 2 4 2 4 3 7" xfId="4687" xr:uid="{00000000-0005-0000-0000-0000710F0000}"/>
    <cellStyle name="Normal 2 4 2 4 4" xfId="781" xr:uid="{00000000-0005-0000-0000-0000720F0000}"/>
    <cellStyle name="Normal 2 4 2 4 4 2" xfId="3020" xr:uid="{00000000-0005-0000-0000-0000730F0000}"/>
    <cellStyle name="Normal 2 4 2 4 4 2 2" xfId="7243" xr:uid="{00000000-0005-0000-0000-0000740F0000}"/>
    <cellStyle name="Normal 2 4 2 4 4 3" xfId="5098" xr:uid="{00000000-0005-0000-0000-0000750F0000}"/>
    <cellStyle name="Normal 2 4 2 4 5" xfId="1203" xr:uid="{00000000-0005-0000-0000-0000760F0000}"/>
    <cellStyle name="Normal 2 4 2 4 5 2" xfId="3433" xr:uid="{00000000-0005-0000-0000-0000770F0000}"/>
    <cellStyle name="Normal 2 4 2 4 5 2 2" xfId="7656" xr:uid="{00000000-0005-0000-0000-0000780F0000}"/>
    <cellStyle name="Normal 2 4 2 4 5 3" xfId="5511" xr:uid="{00000000-0005-0000-0000-0000790F0000}"/>
    <cellStyle name="Normal 2 4 2 4 6" xfId="1616" xr:uid="{00000000-0005-0000-0000-00007A0F0000}"/>
    <cellStyle name="Normal 2 4 2 4 6 2" xfId="3846" xr:uid="{00000000-0005-0000-0000-00007B0F0000}"/>
    <cellStyle name="Normal 2 4 2 4 6 2 2" xfId="8069" xr:uid="{00000000-0005-0000-0000-00007C0F0000}"/>
    <cellStyle name="Normal 2 4 2 4 6 3" xfId="5924" xr:uid="{00000000-0005-0000-0000-00007D0F0000}"/>
    <cellStyle name="Normal 2 4 2 4 7" xfId="2030" xr:uid="{00000000-0005-0000-0000-00007E0F0000}"/>
    <cellStyle name="Normal 2 4 2 4 7 2" xfId="4259" xr:uid="{00000000-0005-0000-0000-00007F0F0000}"/>
    <cellStyle name="Normal 2 4 2 4 7 2 2" xfId="8482" xr:uid="{00000000-0005-0000-0000-0000800F0000}"/>
    <cellStyle name="Normal 2 4 2 4 7 3" xfId="6337" xr:uid="{00000000-0005-0000-0000-0000810F0000}"/>
    <cellStyle name="Normal 2 4 2 4 8" xfId="2466" xr:uid="{00000000-0005-0000-0000-0000820F0000}"/>
    <cellStyle name="Normal 2 4 2 4 8 2" xfId="6750" xr:uid="{00000000-0005-0000-0000-0000830F0000}"/>
    <cellStyle name="Normal 2 4 2 4 9" xfId="4684"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8" xr:uid="{00000000-0005-0000-0000-0000890F0000}"/>
    <cellStyle name="Normal 2 4 2 5 2 2 3" xfId="5103" xr:uid="{00000000-0005-0000-0000-00008A0F0000}"/>
    <cellStyle name="Normal 2 4 2 5 2 3" xfId="1208" xr:uid="{00000000-0005-0000-0000-00008B0F0000}"/>
    <cellStyle name="Normal 2 4 2 5 2 3 2" xfId="3438" xr:uid="{00000000-0005-0000-0000-00008C0F0000}"/>
    <cellStyle name="Normal 2 4 2 5 2 3 2 2" xfId="7661" xr:uid="{00000000-0005-0000-0000-00008D0F0000}"/>
    <cellStyle name="Normal 2 4 2 5 2 3 3" xfId="5516" xr:uid="{00000000-0005-0000-0000-00008E0F0000}"/>
    <cellStyle name="Normal 2 4 2 5 2 4" xfId="1621" xr:uid="{00000000-0005-0000-0000-00008F0F0000}"/>
    <cellStyle name="Normal 2 4 2 5 2 4 2" xfId="3851" xr:uid="{00000000-0005-0000-0000-0000900F0000}"/>
    <cellStyle name="Normal 2 4 2 5 2 4 2 2" xfId="8074" xr:uid="{00000000-0005-0000-0000-0000910F0000}"/>
    <cellStyle name="Normal 2 4 2 5 2 4 3" xfId="5929" xr:uid="{00000000-0005-0000-0000-0000920F0000}"/>
    <cellStyle name="Normal 2 4 2 5 2 5" xfId="2035" xr:uid="{00000000-0005-0000-0000-0000930F0000}"/>
    <cellStyle name="Normal 2 4 2 5 2 5 2" xfId="4264" xr:uid="{00000000-0005-0000-0000-0000940F0000}"/>
    <cellStyle name="Normal 2 4 2 5 2 5 2 2" xfId="8487" xr:uid="{00000000-0005-0000-0000-0000950F0000}"/>
    <cellStyle name="Normal 2 4 2 5 2 5 3" xfId="6342" xr:uid="{00000000-0005-0000-0000-0000960F0000}"/>
    <cellStyle name="Normal 2 4 2 5 2 6" xfId="2471" xr:uid="{00000000-0005-0000-0000-0000970F0000}"/>
    <cellStyle name="Normal 2 4 2 5 2 6 2" xfId="6755" xr:uid="{00000000-0005-0000-0000-0000980F0000}"/>
    <cellStyle name="Normal 2 4 2 5 2 7" xfId="4689" xr:uid="{00000000-0005-0000-0000-0000990F0000}"/>
    <cellStyle name="Normal 2 4 2 5 3" xfId="785" xr:uid="{00000000-0005-0000-0000-00009A0F0000}"/>
    <cellStyle name="Normal 2 4 2 5 3 2" xfId="3024" xr:uid="{00000000-0005-0000-0000-00009B0F0000}"/>
    <cellStyle name="Normal 2 4 2 5 3 2 2" xfId="7247" xr:uid="{00000000-0005-0000-0000-00009C0F0000}"/>
    <cellStyle name="Normal 2 4 2 5 3 3" xfId="5102" xr:uid="{00000000-0005-0000-0000-00009D0F0000}"/>
    <cellStyle name="Normal 2 4 2 5 4" xfId="1207" xr:uid="{00000000-0005-0000-0000-00009E0F0000}"/>
    <cellStyle name="Normal 2 4 2 5 4 2" xfId="3437" xr:uid="{00000000-0005-0000-0000-00009F0F0000}"/>
    <cellStyle name="Normal 2 4 2 5 4 2 2" xfId="7660" xr:uid="{00000000-0005-0000-0000-0000A00F0000}"/>
    <cellStyle name="Normal 2 4 2 5 4 3" xfId="5515" xr:uid="{00000000-0005-0000-0000-0000A10F0000}"/>
    <cellStyle name="Normal 2 4 2 5 5" xfId="1620" xr:uid="{00000000-0005-0000-0000-0000A20F0000}"/>
    <cellStyle name="Normal 2 4 2 5 5 2" xfId="3850" xr:uid="{00000000-0005-0000-0000-0000A30F0000}"/>
    <cellStyle name="Normal 2 4 2 5 5 2 2" xfId="8073" xr:uid="{00000000-0005-0000-0000-0000A40F0000}"/>
    <cellStyle name="Normal 2 4 2 5 5 3" xfId="5928" xr:uid="{00000000-0005-0000-0000-0000A50F0000}"/>
    <cellStyle name="Normal 2 4 2 5 6" xfId="2034" xr:uid="{00000000-0005-0000-0000-0000A60F0000}"/>
    <cellStyle name="Normal 2 4 2 5 6 2" xfId="4263" xr:uid="{00000000-0005-0000-0000-0000A70F0000}"/>
    <cellStyle name="Normal 2 4 2 5 6 2 2" xfId="8486" xr:uid="{00000000-0005-0000-0000-0000A80F0000}"/>
    <cellStyle name="Normal 2 4 2 5 6 3" xfId="6341" xr:uid="{00000000-0005-0000-0000-0000A90F0000}"/>
    <cellStyle name="Normal 2 4 2 5 7" xfId="2470" xr:uid="{00000000-0005-0000-0000-0000AA0F0000}"/>
    <cellStyle name="Normal 2 4 2 5 7 2" xfId="6754" xr:uid="{00000000-0005-0000-0000-0000AB0F0000}"/>
    <cellStyle name="Normal 2 4 2 5 8" xfId="4688"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49" xr:uid="{00000000-0005-0000-0000-0000B00F0000}"/>
    <cellStyle name="Normal 2 4 2 6 2 3" xfId="5104" xr:uid="{00000000-0005-0000-0000-0000B10F0000}"/>
    <cellStyle name="Normal 2 4 2 6 3" xfId="1209" xr:uid="{00000000-0005-0000-0000-0000B20F0000}"/>
    <cellStyle name="Normal 2 4 2 6 3 2" xfId="3439" xr:uid="{00000000-0005-0000-0000-0000B30F0000}"/>
    <cellStyle name="Normal 2 4 2 6 3 2 2" xfId="7662" xr:uid="{00000000-0005-0000-0000-0000B40F0000}"/>
    <cellStyle name="Normal 2 4 2 6 3 3" xfId="5517" xr:uid="{00000000-0005-0000-0000-0000B50F0000}"/>
    <cellStyle name="Normal 2 4 2 6 4" xfId="1622" xr:uid="{00000000-0005-0000-0000-0000B60F0000}"/>
    <cellStyle name="Normal 2 4 2 6 4 2" xfId="3852" xr:uid="{00000000-0005-0000-0000-0000B70F0000}"/>
    <cellStyle name="Normal 2 4 2 6 4 2 2" xfId="8075" xr:uid="{00000000-0005-0000-0000-0000B80F0000}"/>
    <cellStyle name="Normal 2 4 2 6 4 3" xfId="5930" xr:uid="{00000000-0005-0000-0000-0000B90F0000}"/>
    <cellStyle name="Normal 2 4 2 6 5" xfId="2036" xr:uid="{00000000-0005-0000-0000-0000BA0F0000}"/>
    <cellStyle name="Normal 2 4 2 6 5 2" xfId="4265" xr:uid="{00000000-0005-0000-0000-0000BB0F0000}"/>
    <cellStyle name="Normal 2 4 2 6 5 2 2" xfId="8488" xr:uid="{00000000-0005-0000-0000-0000BC0F0000}"/>
    <cellStyle name="Normal 2 4 2 6 5 3" xfId="6343" xr:uid="{00000000-0005-0000-0000-0000BD0F0000}"/>
    <cellStyle name="Normal 2 4 2 6 6" xfId="2472" xr:uid="{00000000-0005-0000-0000-0000BE0F0000}"/>
    <cellStyle name="Normal 2 4 2 6 6 2" xfId="6756" xr:uid="{00000000-0005-0000-0000-0000BF0F0000}"/>
    <cellStyle name="Normal 2 4 2 6 7" xfId="4690" xr:uid="{00000000-0005-0000-0000-0000C00F0000}"/>
    <cellStyle name="Normal 2 4 2 7" xfId="772" xr:uid="{00000000-0005-0000-0000-0000C10F0000}"/>
    <cellStyle name="Normal 2 4 2 7 2" xfId="3011" xr:uid="{00000000-0005-0000-0000-0000C20F0000}"/>
    <cellStyle name="Normal 2 4 2 7 2 2" xfId="7234" xr:uid="{00000000-0005-0000-0000-0000C30F0000}"/>
    <cellStyle name="Normal 2 4 2 7 3" xfId="5089" xr:uid="{00000000-0005-0000-0000-0000C40F0000}"/>
    <cellStyle name="Normal 2 4 2 8" xfId="1194" xr:uid="{00000000-0005-0000-0000-0000C50F0000}"/>
    <cellStyle name="Normal 2 4 2 8 2" xfId="3424" xr:uid="{00000000-0005-0000-0000-0000C60F0000}"/>
    <cellStyle name="Normal 2 4 2 8 2 2" xfId="7647" xr:uid="{00000000-0005-0000-0000-0000C70F0000}"/>
    <cellStyle name="Normal 2 4 2 8 3" xfId="5502" xr:uid="{00000000-0005-0000-0000-0000C80F0000}"/>
    <cellStyle name="Normal 2 4 2 9" xfId="1607" xr:uid="{00000000-0005-0000-0000-0000C90F0000}"/>
    <cellStyle name="Normal 2 4 2 9 2" xfId="3837" xr:uid="{00000000-0005-0000-0000-0000CA0F0000}"/>
    <cellStyle name="Normal 2 4 2 9 2 2" xfId="8060" xr:uid="{00000000-0005-0000-0000-0000CB0F0000}"/>
    <cellStyle name="Normal 2 4 2 9 3" xfId="5915"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3" xr:uid="{00000000-0005-0000-0000-0000D40F0000}"/>
    <cellStyle name="Normal 2 4 3 3 2 2 2 3" xfId="5108" xr:uid="{00000000-0005-0000-0000-0000D50F0000}"/>
    <cellStyle name="Normal 2 4 3 3 2 2 3" xfId="1213" xr:uid="{00000000-0005-0000-0000-0000D60F0000}"/>
    <cellStyle name="Normal 2 4 3 3 2 2 3 2" xfId="3443" xr:uid="{00000000-0005-0000-0000-0000D70F0000}"/>
    <cellStyle name="Normal 2 4 3 3 2 2 3 2 2" xfId="7666" xr:uid="{00000000-0005-0000-0000-0000D80F0000}"/>
    <cellStyle name="Normal 2 4 3 3 2 2 3 3" xfId="5521" xr:uid="{00000000-0005-0000-0000-0000D90F0000}"/>
    <cellStyle name="Normal 2 4 3 3 2 2 4" xfId="1626" xr:uid="{00000000-0005-0000-0000-0000DA0F0000}"/>
    <cellStyle name="Normal 2 4 3 3 2 2 4 2" xfId="3856" xr:uid="{00000000-0005-0000-0000-0000DB0F0000}"/>
    <cellStyle name="Normal 2 4 3 3 2 2 4 2 2" xfId="8079" xr:uid="{00000000-0005-0000-0000-0000DC0F0000}"/>
    <cellStyle name="Normal 2 4 3 3 2 2 4 3" xfId="5934" xr:uid="{00000000-0005-0000-0000-0000DD0F0000}"/>
    <cellStyle name="Normal 2 4 3 3 2 2 5" xfId="2040" xr:uid="{00000000-0005-0000-0000-0000DE0F0000}"/>
    <cellStyle name="Normal 2 4 3 3 2 2 5 2" xfId="4269" xr:uid="{00000000-0005-0000-0000-0000DF0F0000}"/>
    <cellStyle name="Normal 2 4 3 3 2 2 5 2 2" xfId="8492" xr:uid="{00000000-0005-0000-0000-0000E00F0000}"/>
    <cellStyle name="Normal 2 4 3 3 2 2 5 3" xfId="6347" xr:uid="{00000000-0005-0000-0000-0000E10F0000}"/>
    <cellStyle name="Normal 2 4 3 3 2 2 6" xfId="2476" xr:uid="{00000000-0005-0000-0000-0000E20F0000}"/>
    <cellStyle name="Normal 2 4 3 3 2 2 6 2" xfId="6760" xr:uid="{00000000-0005-0000-0000-0000E30F0000}"/>
    <cellStyle name="Normal 2 4 3 3 2 2 7" xfId="4694" xr:uid="{00000000-0005-0000-0000-0000E40F0000}"/>
    <cellStyle name="Normal 2 4 3 3 2 3" xfId="790" xr:uid="{00000000-0005-0000-0000-0000E50F0000}"/>
    <cellStyle name="Normal 2 4 3 3 2 3 2" xfId="3029" xr:uid="{00000000-0005-0000-0000-0000E60F0000}"/>
    <cellStyle name="Normal 2 4 3 3 2 3 2 2" xfId="7252" xr:uid="{00000000-0005-0000-0000-0000E70F0000}"/>
    <cellStyle name="Normal 2 4 3 3 2 3 3" xfId="5107" xr:uid="{00000000-0005-0000-0000-0000E80F0000}"/>
    <cellStyle name="Normal 2 4 3 3 2 4" xfId="1212" xr:uid="{00000000-0005-0000-0000-0000E90F0000}"/>
    <cellStyle name="Normal 2 4 3 3 2 4 2" xfId="3442" xr:uid="{00000000-0005-0000-0000-0000EA0F0000}"/>
    <cellStyle name="Normal 2 4 3 3 2 4 2 2" xfId="7665" xr:uid="{00000000-0005-0000-0000-0000EB0F0000}"/>
    <cellStyle name="Normal 2 4 3 3 2 4 3" xfId="5520" xr:uid="{00000000-0005-0000-0000-0000EC0F0000}"/>
    <cellStyle name="Normal 2 4 3 3 2 5" xfId="1625" xr:uid="{00000000-0005-0000-0000-0000ED0F0000}"/>
    <cellStyle name="Normal 2 4 3 3 2 5 2" xfId="3855" xr:uid="{00000000-0005-0000-0000-0000EE0F0000}"/>
    <cellStyle name="Normal 2 4 3 3 2 5 2 2" xfId="8078" xr:uid="{00000000-0005-0000-0000-0000EF0F0000}"/>
    <cellStyle name="Normal 2 4 3 3 2 5 3" xfId="5933" xr:uid="{00000000-0005-0000-0000-0000F00F0000}"/>
    <cellStyle name="Normal 2 4 3 3 2 6" xfId="2039" xr:uid="{00000000-0005-0000-0000-0000F10F0000}"/>
    <cellStyle name="Normal 2 4 3 3 2 6 2" xfId="4268" xr:uid="{00000000-0005-0000-0000-0000F20F0000}"/>
    <cellStyle name="Normal 2 4 3 3 2 6 2 2" xfId="8491" xr:uid="{00000000-0005-0000-0000-0000F30F0000}"/>
    <cellStyle name="Normal 2 4 3 3 2 6 3" xfId="6346" xr:uid="{00000000-0005-0000-0000-0000F40F0000}"/>
    <cellStyle name="Normal 2 4 3 3 2 7" xfId="2475" xr:uid="{00000000-0005-0000-0000-0000F50F0000}"/>
    <cellStyle name="Normal 2 4 3 3 2 7 2" xfId="6759" xr:uid="{00000000-0005-0000-0000-0000F60F0000}"/>
    <cellStyle name="Normal 2 4 3 3 2 8" xfId="4693"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4" xr:uid="{00000000-0005-0000-0000-0000FB0F0000}"/>
    <cellStyle name="Normal 2 4 3 3 3 2 3" xfId="5109" xr:uid="{00000000-0005-0000-0000-0000FC0F0000}"/>
    <cellStyle name="Normal 2 4 3 3 3 3" xfId="1214" xr:uid="{00000000-0005-0000-0000-0000FD0F0000}"/>
    <cellStyle name="Normal 2 4 3 3 3 3 2" xfId="3444" xr:uid="{00000000-0005-0000-0000-0000FE0F0000}"/>
    <cellStyle name="Normal 2 4 3 3 3 3 2 2" xfId="7667" xr:uid="{00000000-0005-0000-0000-0000FF0F0000}"/>
    <cellStyle name="Normal 2 4 3 3 3 3 3" xfId="5522" xr:uid="{00000000-0005-0000-0000-000000100000}"/>
    <cellStyle name="Normal 2 4 3 3 3 4" xfId="1627" xr:uid="{00000000-0005-0000-0000-000001100000}"/>
    <cellStyle name="Normal 2 4 3 3 3 4 2" xfId="3857" xr:uid="{00000000-0005-0000-0000-000002100000}"/>
    <cellStyle name="Normal 2 4 3 3 3 4 2 2" xfId="8080" xr:uid="{00000000-0005-0000-0000-000003100000}"/>
    <cellStyle name="Normal 2 4 3 3 3 4 3" xfId="5935" xr:uid="{00000000-0005-0000-0000-000004100000}"/>
    <cellStyle name="Normal 2 4 3 3 3 5" xfId="2041" xr:uid="{00000000-0005-0000-0000-000005100000}"/>
    <cellStyle name="Normal 2 4 3 3 3 5 2" xfId="4270" xr:uid="{00000000-0005-0000-0000-000006100000}"/>
    <cellStyle name="Normal 2 4 3 3 3 5 2 2" xfId="8493" xr:uid="{00000000-0005-0000-0000-000007100000}"/>
    <cellStyle name="Normal 2 4 3 3 3 5 3" xfId="6348" xr:uid="{00000000-0005-0000-0000-000008100000}"/>
    <cellStyle name="Normal 2 4 3 3 3 6" xfId="2477" xr:uid="{00000000-0005-0000-0000-000009100000}"/>
    <cellStyle name="Normal 2 4 3 3 3 6 2" xfId="6761" xr:uid="{00000000-0005-0000-0000-00000A100000}"/>
    <cellStyle name="Normal 2 4 3 3 3 7" xfId="4695" xr:uid="{00000000-0005-0000-0000-00000B100000}"/>
    <cellStyle name="Normal 2 4 3 3 4" xfId="789" xr:uid="{00000000-0005-0000-0000-00000C100000}"/>
    <cellStyle name="Normal 2 4 3 3 4 2" xfId="3028" xr:uid="{00000000-0005-0000-0000-00000D100000}"/>
    <cellStyle name="Normal 2 4 3 3 4 2 2" xfId="7251" xr:uid="{00000000-0005-0000-0000-00000E100000}"/>
    <cellStyle name="Normal 2 4 3 3 4 3" xfId="5106" xr:uid="{00000000-0005-0000-0000-00000F100000}"/>
    <cellStyle name="Normal 2 4 3 3 5" xfId="1211" xr:uid="{00000000-0005-0000-0000-000010100000}"/>
    <cellStyle name="Normal 2 4 3 3 5 2" xfId="3441" xr:uid="{00000000-0005-0000-0000-000011100000}"/>
    <cellStyle name="Normal 2 4 3 3 5 2 2" xfId="7664" xr:uid="{00000000-0005-0000-0000-000012100000}"/>
    <cellStyle name="Normal 2 4 3 3 5 3" xfId="5519" xr:uid="{00000000-0005-0000-0000-000013100000}"/>
    <cellStyle name="Normal 2 4 3 3 6" xfId="1624" xr:uid="{00000000-0005-0000-0000-000014100000}"/>
    <cellStyle name="Normal 2 4 3 3 6 2" xfId="3854" xr:uid="{00000000-0005-0000-0000-000015100000}"/>
    <cellStyle name="Normal 2 4 3 3 6 2 2" xfId="8077" xr:uid="{00000000-0005-0000-0000-000016100000}"/>
    <cellStyle name="Normal 2 4 3 3 6 3" xfId="5932" xr:uid="{00000000-0005-0000-0000-000017100000}"/>
    <cellStyle name="Normal 2 4 3 3 7" xfId="2038" xr:uid="{00000000-0005-0000-0000-000018100000}"/>
    <cellStyle name="Normal 2 4 3 3 7 2" xfId="4267" xr:uid="{00000000-0005-0000-0000-000019100000}"/>
    <cellStyle name="Normal 2 4 3 3 7 2 2" xfId="8490" xr:uid="{00000000-0005-0000-0000-00001A100000}"/>
    <cellStyle name="Normal 2 4 3 3 7 3" xfId="6345" xr:uid="{00000000-0005-0000-0000-00001B100000}"/>
    <cellStyle name="Normal 2 4 3 3 8" xfId="2474" xr:uid="{00000000-0005-0000-0000-00001C100000}"/>
    <cellStyle name="Normal 2 4 3 3 8 2" xfId="6758" xr:uid="{00000000-0005-0000-0000-00001D100000}"/>
    <cellStyle name="Normal 2 4 3 3 9" xfId="4692" xr:uid="{00000000-0005-0000-0000-00001E100000}"/>
    <cellStyle name="Normal 2 4 3 4" xfId="788" xr:uid="{00000000-0005-0000-0000-00001F100000}"/>
    <cellStyle name="Normal 2 4 3 4 2" xfId="3027" xr:uid="{00000000-0005-0000-0000-000020100000}"/>
    <cellStyle name="Normal 2 4 3 4 2 2" xfId="7250" xr:uid="{00000000-0005-0000-0000-000021100000}"/>
    <cellStyle name="Normal 2 4 3 4 3" xfId="5105" xr:uid="{00000000-0005-0000-0000-000022100000}"/>
    <cellStyle name="Normal 2 4 3 5" xfId="1210" xr:uid="{00000000-0005-0000-0000-000023100000}"/>
    <cellStyle name="Normal 2 4 3 5 2" xfId="3440" xr:uid="{00000000-0005-0000-0000-000024100000}"/>
    <cellStyle name="Normal 2 4 3 5 2 2" xfId="7663" xr:uid="{00000000-0005-0000-0000-000025100000}"/>
    <cellStyle name="Normal 2 4 3 5 3" xfId="5518" xr:uid="{00000000-0005-0000-0000-000026100000}"/>
    <cellStyle name="Normal 2 4 3 6" xfId="1623" xr:uid="{00000000-0005-0000-0000-000027100000}"/>
    <cellStyle name="Normal 2 4 3 6 2" xfId="3853" xr:uid="{00000000-0005-0000-0000-000028100000}"/>
    <cellStyle name="Normal 2 4 3 6 2 2" xfId="8076" xr:uid="{00000000-0005-0000-0000-000029100000}"/>
    <cellStyle name="Normal 2 4 3 6 3" xfId="5931" xr:uid="{00000000-0005-0000-0000-00002A100000}"/>
    <cellStyle name="Normal 2 4 3 7" xfId="2037" xr:uid="{00000000-0005-0000-0000-00002B100000}"/>
    <cellStyle name="Normal 2 4 3 7 2" xfId="4266" xr:uid="{00000000-0005-0000-0000-00002C100000}"/>
    <cellStyle name="Normal 2 4 3 7 2 2" xfId="8489" xr:uid="{00000000-0005-0000-0000-00002D100000}"/>
    <cellStyle name="Normal 2 4 3 7 3" xfId="6344" xr:uid="{00000000-0005-0000-0000-00002E100000}"/>
    <cellStyle name="Normal 2 4 3 8" xfId="2473" xr:uid="{00000000-0005-0000-0000-00002F100000}"/>
    <cellStyle name="Normal 2 4 3 8 2" xfId="6757" xr:uid="{00000000-0005-0000-0000-000030100000}"/>
    <cellStyle name="Normal 2 4 3 9" xfId="4691" xr:uid="{00000000-0005-0000-0000-000031100000}"/>
    <cellStyle name="Normal 2 4 4" xfId="302" xr:uid="{00000000-0005-0000-0000-000032100000}"/>
    <cellStyle name="Normal 2 4 5" xfId="303" xr:uid="{00000000-0005-0000-0000-000033100000}"/>
    <cellStyle name="Normal 2 4 5 10" xfId="4696"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8" xr:uid="{00000000-0005-0000-0000-00003A100000}"/>
    <cellStyle name="Normal 2 4 5 2 2 2 2 3" xfId="5113" xr:uid="{00000000-0005-0000-0000-00003B100000}"/>
    <cellStyle name="Normal 2 4 5 2 2 2 3" xfId="1218" xr:uid="{00000000-0005-0000-0000-00003C100000}"/>
    <cellStyle name="Normal 2 4 5 2 2 2 3 2" xfId="3448" xr:uid="{00000000-0005-0000-0000-00003D100000}"/>
    <cellStyle name="Normal 2 4 5 2 2 2 3 2 2" xfId="7671" xr:uid="{00000000-0005-0000-0000-00003E100000}"/>
    <cellStyle name="Normal 2 4 5 2 2 2 3 3" xfId="5526" xr:uid="{00000000-0005-0000-0000-00003F100000}"/>
    <cellStyle name="Normal 2 4 5 2 2 2 4" xfId="1631" xr:uid="{00000000-0005-0000-0000-000040100000}"/>
    <cellStyle name="Normal 2 4 5 2 2 2 4 2" xfId="3861" xr:uid="{00000000-0005-0000-0000-000041100000}"/>
    <cellStyle name="Normal 2 4 5 2 2 2 4 2 2" xfId="8084" xr:uid="{00000000-0005-0000-0000-000042100000}"/>
    <cellStyle name="Normal 2 4 5 2 2 2 4 3" xfId="5939" xr:uid="{00000000-0005-0000-0000-000043100000}"/>
    <cellStyle name="Normal 2 4 5 2 2 2 5" xfId="2045" xr:uid="{00000000-0005-0000-0000-000044100000}"/>
    <cellStyle name="Normal 2 4 5 2 2 2 5 2" xfId="4274" xr:uid="{00000000-0005-0000-0000-000045100000}"/>
    <cellStyle name="Normal 2 4 5 2 2 2 5 2 2" xfId="8497" xr:uid="{00000000-0005-0000-0000-000046100000}"/>
    <cellStyle name="Normal 2 4 5 2 2 2 5 3" xfId="6352" xr:uid="{00000000-0005-0000-0000-000047100000}"/>
    <cellStyle name="Normal 2 4 5 2 2 2 6" xfId="2481" xr:uid="{00000000-0005-0000-0000-000048100000}"/>
    <cellStyle name="Normal 2 4 5 2 2 2 6 2" xfId="6765" xr:uid="{00000000-0005-0000-0000-000049100000}"/>
    <cellStyle name="Normal 2 4 5 2 2 2 7" xfId="4699" xr:uid="{00000000-0005-0000-0000-00004A100000}"/>
    <cellStyle name="Normal 2 4 5 2 2 3" xfId="795" xr:uid="{00000000-0005-0000-0000-00004B100000}"/>
    <cellStyle name="Normal 2 4 5 2 2 3 2" xfId="3034" xr:uid="{00000000-0005-0000-0000-00004C100000}"/>
    <cellStyle name="Normal 2 4 5 2 2 3 2 2" xfId="7257" xr:uid="{00000000-0005-0000-0000-00004D100000}"/>
    <cellStyle name="Normal 2 4 5 2 2 3 3" xfId="5112" xr:uid="{00000000-0005-0000-0000-00004E100000}"/>
    <cellStyle name="Normal 2 4 5 2 2 4" xfId="1217" xr:uid="{00000000-0005-0000-0000-00004F100000}"/>
    <cellStyle name="Normal 2 4 5 2 2 4 2" xfId="3447" xr:uid="{00000000-0005-0000-0000-000050100000}"/>
    <cellStyle name="Normal 2 4 5 2 2 4 2 2" xfId="7670" xr:uid="{00000000-0005-0000-0000-000051100000}"/>
    <cellStyle name="Normal 2 4 5 2 2 4 3" xfId="5525" xr:uid="{00000000-0005-0000-0000-000052100000}"/>
    <cellStyle name="Normal 2 4 5 2 2 5" xfId="1630" xr:uid="{00000000-0005-0000-0000-000053100000}"/>
    <cellStyle name="Normal 2 4 5 2 2 5 2" xfId="3860" xr:uid="{00000000-0005-0000-0000-000054100000}"/>
    <cellStyle name="Normal 2 4 5 2 2 5 2 2" xfId="8083" xr:uid="{00000000-0005-0000-0000-000055100000}"/>
    <cellStyle name="Normal 2 4 5 2 2 5 3" xfId="5938" xr:uid="{00000000-0005-0000-0000-000056100000}"/>
    <cellStyle name="Normal 2 4 5 2 2 6" xfId="2044" xr:uid="{00000000-0005-0000-0000-000057100000}"/>
    <cellStyle name="Normal 2 4 5 2 2 6 2" xfId="4273" xr:uid="{00000000-0005-0000-0000-000058100000}"/>
    <cellStyle name="Normal 2 4 5 2 2 6 2 2" xfId="8496" xr:uid="{00000000-0005-0000-0000-000059100000}"/>
    <cellStyle name="Normal 2 4 5 2 2 6 3" xfId="6351" xr:uid="{00000000-0005-0000-0000-00005A100000}"/>
    <cellStyle name="Normal 2 4 5 2 2 7" xfId="2480" xr:uid="{00000000-0005-0000-0000-00005B100000}"/>
    <cellStyle name="Normal 2 4 5 2 2 7 2" xfId="6764" xr:uid="{00000000-0005-0000-0000-00005C100000}"/>
    <cellStyle name="Normal 2 4 5 2 2 8" xfId="4698"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59" xr:uid="{00000000-0005-0000-0000-000061100000}"/>
    <cellStyle name="Normal 2 4 5 2 3 2 3" xfId="5114" xr:uid="{00000000-0005-0000-0000-000062100000}"/>
    <cellStyle name="Normal 2 4 5 2 3 3" xfId="1219" xr:uid="{00000000-0005-0000-0000-000063100000}"/>
    <cellStyle name="Normal 2 4 5 2 3 3 2" xfId="3449" xr:uid="{00000000-0005-0000-0000-000064100000}"/>
    <cellStyle name="Normal 2 4 5 2 3 3 2 2" xfId="7672" xr:uid="{00000000-0005-0000-0000-000065100000}"/>
    <cellStyle name="Normal 2 4 5 2 3 3 3" xfId="5527" xr:uid="{00000000-0005-0000-0000-000066100000}"/>
    <cellStyle name="Normal 2 4 5 2 3 4" xfId="1632" xr:uid="{00000000-0005-0000-0000-000067100000}"/>
    <cellStyle name="Normal 2 4 5 2 3 4 2" xfId="3862" xr:uid="{00000000-0005-0000-0000-000068100000}"/>
    <cellStyle name="Normal 2 4 5 2 3 4 2 2" xfId="8085" xr:uid="{00000000-0005-0000-0000-000069100000}"/>
    <cellStyle name="Normal 2 4 5 2 3 4 3" xfId="5940" xr:uid="{00000000-0005-0000-0000-00006A100000}"/>
    <cellStyle name="Normal 2 4 5 2 3 5" xfId="2046" xr:uid="{00000000-0005-0000-0000-00006B100000}"/>
    <cellStyle name="Normal 2 4 5 2 3 5 2" xfId="4275" xr:uid="{00000000-0005-0000-0000-00006C100000}"/>
    <cellStyle name="Normal 2 4 5 2 3 5 2 2" xfId="8498" xr:uid="{00000000-0005-0000-0000-00006D100000}"/>
    <cellStyle name="Normal 2 4 5 2 3 5 3" xfId="6353" xr:uid="{00000000-0005-0000-0000-00006E100000}"/>
    <cellStyle name="Normal 2 4 5 2 3 6" xfId="2482" xr:uid="{00000000-0005-0000-0000-00006F100000}"/>
    <cellStyle name="Normal 2 4 5 2 3 6 2" xfId="6766" xr:uid="{00000000-0005-0000-0000-000070100000}"/>
    <cellStyle name="Normal 2 4 5 2 3 7" xfId="4700" xr:uid="{00000000-0005-0000-0000-000071100000}"/>
    <cellStyle name="Normal 2 4 5 2 4" xfId="794" xr:uid="{00000000-0005-0000-0000-000072100000}"/>
    <cellStyle name="Normal 2 4 5 2 4 2" xfId="3033" xr:uid="{00000000-0005-0000-0000-000073100000}"/>
    <cellStyle name="Normal 2 4 5 2 4 2 2" xfId="7256" xr:uid="{00000000-0005-0000-0000-000074100000}"/>
    <cellStyle name="Normal 2 4 5 2 4 3" xfId="5111" xr:uid="{00000000-0005-0000-0000-000075100000}"/>
    <cellStyle name="Normal 2 4 5 2 5" xfId="1216" xr:uid="{00000000-0005-0000-0000-000076100000}"/>
    <cellStyle name="Normal 2 4 5 2 5 2" xfId="3446" xr:uid="{00000000-0005-0000-0000-000077100000}"/>
    <cellStyle name="Normal 2 4 5 2 5 2 2" xfId="7669" xr:uid="{00000000-0005-0000-0000-000078100000}"/>
    <cellStyle name="Normal 2 4 5 2 5 3" xfId="5524" xr:uid="{00000000-0005-0000-0000-000079100000}"/>
    <cellStyle name="Normal 2 4 5 2 6" xfId="1629" xr:uid="{00000000-0005-0000-0000-00007A100000}"/>
    <cellStyle name="Normal 2 4 5 2 6 2" xfId="3859" xr:uid="{00000000-0005-0000-0000-00007B100000}"/>
    <cellStyle name="Normal 2 4 5 2 6 2 2" xfId="8082" xr:uid="{00000000-0005-0000-0000-00007C100000}"/>
    <cellStyle name="Normal 2 4 5 2 6 3" xfId="5937" xr:uid="{00000000-0005-0000-0000-00007D100000}"/>
    <cellStyle name="Normal 2 4 5 2 7" xfId="2043" xr:uid="{00000000-0005-0000-0000-00007E100000}"/>
    <cellStyle name="Normal 2 4 5 2 7 2" xfId="4272" xr:uid="{00000000-0005-0000-0000-00007F100000}"/>
    <cellStyle name="Normal 2 4 5 2 7 2 2" xfId="8495" xr:uid="{00000000-0005-0000-0000-000080100000}"/>
    <cellStyle name="Normal 2 4 5 2 7 3" xfId="6350" xr:uid="{00000000-0005-0000-0000-000081100000}"/>
    <cellStyle name="Normal 2 4 5 2 8" xfId="2479" xr:uid="{00000000-0005-0000-0000-000082100000}"/>
    <cellStyle name="Normal 2 4 5 2 8 2" xfId="6763" xr:uid="{00000000-0005-0000-0000-000083100000}"/>
    <cellStyle name="Normal 2 4 5 2 9" xfId="4697"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1" xr:uid="{00000000-0005-0000-0000-000089100000}"/>
    <cellStyle name="Normal 2 4 5 3 2 2 3" xfId="5116" xr:uid="{00000000-0005-0000-0000-00008A100000}"/>
    <cellStyle name="Normal 2 4 5 3 2 3" xfId="1221" xr:uid="{00000000-0005-0000-0000-00008B100000}"/>
    <cellStyle name="Normal 2 4 5 3 2 3 2" xfId="3451" xr:uid="{00000000-0005-0000-0000-00008C100000}"/>
    <cellStyle name="Normal 2 4 5 3 2 3 2 2" xfId="7674" xr:uid="{00000000-0005-0000-0000-00008D100000}"/>
    <cellStyle name="Normal 2 4 5 3 2 3 3" xfId="5529" xr:uid="{00000000-0005-0000-0000-00008E100000}"/>
    <cellStyle name="Normal 2 4 5 3 2 4" xfId="1634" xr:uid="{00000000-0005-0000-0000-00008F100000}"/>
    <cellStyle name="Normal 2 4 5 3 2 4 2" xfId="3864" xr:uid="{00000000-0005-0000-0000-000090100000}"/>
    <cellStyle name="Normal 2 4 5 3 2 4 2 2" xfId="8087" xr:uid="{00000000-0005-0000-0000-000091100000}"/>
    <cellStyle name="Normal 2 4 5 3 2 4 3" xfId="5942" xr:uid="{00000000-0005-0000-0000-000092100000}"/>
    <cellStyle name="Normal 2 4 5 3 2 5" xfId="2048" xr:uid="{00000000-0005-0000-0000-000093100000}"/>
    <cellStyle name="Normal 2 4 5 3 2 5 2" xfId="4277" xr:uid="{00000000-0005-0000-0000-000094100000}"/>
    <cellStyle name="Normal 2 4 5 3 2 5 2 2" xfId="8500" xr:uid="{00000000-0005-0000-0000-000095100000}"/>
    <cellStyle name="Normal 2 4 5 3 2 5 3" xfId="6355" xr:uid="{00000000-0005-0000-0000-000096100000}"/>
    <cellStyle name="Normal 2 4 5 3 2 6" xfId="2484" xr:uid="{00000000-0005-0000-0000-000097100000}"/>
    <cellStyle name="Normal 2 4 5 3 2 6 2" xfId="6768" xr:uid="{00000000-0005-0000-0000-000098100000}"/>
    <cellStyle name="Normal 2 4 5 3 2 7" xfId="4702" xr:uid="{00000000-0005-0000-0000-000099100000}"/>
    <cellStyle name="Normal 2 4 5 3 3" xfId="798" xr:uid="{00000000-0005-0000-0000-00009A100000}"/>
    <cellStyle name="Normal 2 4 5 3 3 2" xfId="3037" xr:uid="{00000000-0005-0000-0000-00009B100000}"/>
    <cellStyle name="Normal 2 4 5 3 3 2 2" xfId="7260" xr:uid="{00000000-0005-0000-0000-00009C100000}"/>
    <cellStyle name="Normal 2 4 5 3 3 3" xfId="5115" xr:uid="{00000000-0005-0000-0000-00009D100000}"/>
    <cellStyle name="Normal 2 4 5 3 4" xfId="1220" xr:uid="{00000000-0005-0000-0000-00009E100000}"/>
    <cellStyle name="Normal 2 4 5 3 4 2" xfId="3450" xr:uid="{00000000-0005-0000-0000-00009F100000}"/>
    <cellStyle name="Normal 2 4 5 3 4 2 2" xfId="7673" xr:uid="{00000000-0005-0000-0000-0000A0100000}"/>
    <cellStyle name="Normal 2 4 5 3 4 3" xfId="5528" xr:uid="{00000000-0005-0000-0000-0000A1100000}"/>
    <cellStyle name="Normal 2 4 5 3 5" xfId="1633" xr:uid="{00000000-0005-0000-0000-0000A2100000}"/>
    <cellStyle name="Normal 2 4 5 3 5 2" xfId="3863" xr:uid="{00000000-0005-0000-0000-0000A3100000}"/>
    <cellStyle name="Normal 2 4 5 3 5 2 2" xfId="8086" xr:uid="{00000000-0005-0000-0000-0000A4100000}"/>
    <cellStyle name="Normal 2 4 5 3 5 3" xfId="5941" xr:uid="{00000000-0005-0000-0000-0000A5100000}"/>
    <cellStyle name="Normal 2 4 5 3 6" xfId="2047" xr:uid="{00000000-0005-0000-0000-0000A6100000}"/>
    <cellStyle name="Normal 2 4 5 3 6 2" xfId="4276" xr:uid="{00000000-0005-0000-0000-0000A7100000}"/>
    <cellStyle name="Normal 2 4 5 3 6 2 2" xfId="8499" xr:uid="{00000000-0005-0000-0000-0000A8100000}"/>
    <cellStyle name="Normal 2 4 5 3 6 3" xfId="6354" xr:uid="{00000000-0005-0000-0000-0000A9100000}"/>
    <cellStyle name="Normal 2 4 5 3 7" xfId="2483" xr:uid="{00000000-0005-0000-0000-0000AA100000}"/>
    <cellStyle name="Normal 2 4 5 3 7 2" xfId="6767" xr:uid="{00000000-0005-0000-0000-0000AB100000}"/>
    <cellStyle name="Normal 2 4 5 3 8" xfId="4701"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2" xr:uid="{00000000-0005-0000-0000-0000B0100000}"/>
    <cellStyle name="Normal 2 4 5 4 2 3" xfId="5117" xr:uid="{00000000-0005-0000-0000-0000B1100000}"/>
    <cellStyle name="Normal 2 4 5 4 3" xfId="1222" xr:uid="{00000000-0005-0000-0000-0000B2100000}"/>
    <cellStyle name="Normal 2 4 5 4 3 2" xfId="3452" xr:uid="{00000000-0005-0000-0000-0000B3100000}"/>
    <cellStyle name="Normal 2 4 5 4 3 2 2" xfId="7675" xr:uid="{00000000-0005-0000-0000-0000B4100000}"/>
    <cellStyle name="Normal 2 4 5 4 3 3" xfId="5530" xr:uid="{00000000-0005-0000-0000-0000B5100000}"/>
    <cellStyle name="Normal 2 4 5 4 4" xfId="1635" xr:uid="{00000000-0005-0000-0000-0000B6100000}"/>
    <cellStyle name="Normal 2 4 5 4 4 2" xfId="3865" xr:uid="{00000000-0005-0000-0000-0000B7100000}"/>
    <cellStyle name="Normal 2 4 5 4 4 2 2" xfId="8088" xr:uid="{00000000-0005-0000-0000-0000B8100000}"/>
    <cellStyle name="Normal 2 4 5 4 4 3" xfId="5943" xr:uid="{00000000-0005-0000-0000-0000B9100000}"/>
    <cellStyle name="Normal 2 4 5 4 5" xfId="2049" xr:uid="{00000000-0005-0000-0000-0000BA100000}"/>
    <cellStyle name="Normal 2 4 5 4 5 2" xfId="4278" xr:uid="{00000000-0005-0000-0000-0000BB100000}"/>
    <cellStyle name="Normal 2 4 5 4 5 2 2" xfId="8501" xr:uid="{00000000-0005-0000-0000-0000BC100000}"/>
    <cellStyle name="Normal 2 4 5 4 5 3" xfId="6356" xr:uid="{00000000-0005-0000-0000-0000BD100000}"/>
    <cellStyle name="Normal 2 4 5 4 6" xfId="2485" xr:uid="{00000000-0005-0000-0000-0000BE100000}"/>
    <cellStyle name="Normal 2 4 5 4 6 2" xfId="6769" xr:uid="{00000000-0005-0000-0000-0000BF100000}"/>
    <cellStyle name="Normal 2 4 5 4 7" xfId="4703" xr:uid="{00000000-0005-0000-0000-0000C0100000}"/>
    <cellStyle name="Normal 2 4 5 5" xfId="793" xr:uid="{00000000-0005-0000-0000-0000C1100000}"/>
    <cellStyle name="Normal 2 4 5 5 2" xfId="3032" xr:uid="{00000000-0005-0000-0000-0000C2100000}"/>
    <cellStyle name="Normal 2 4 5 5 2 2" xfId="7255" xr:uid="{00000000-0005-0000-0000-0000C3100000}"/>
    <cellStyle name="Normal 2 4 5 5 3" xfId="5110" xr:uid="{00000000-0005-0000-0000-0000C4100000}"/>
    <cellStyle name="Normal 2 4 5 6" xfId="1215" xr:uid="{00000000-0005-0000-0000-0000C5100000}"/>
    <cellStyle name="Normal 2 4 5 6 2" xfId="3445" xr:uid="{00000000-0005-0000-0000-0000C6100000}"/>
    <cellStyle name="Normal 2 4 5 6 2 2" xfId="7668" xr:uid="{00000000-0005-0000-0000-0000C7100000}"/>
    <cellStyle name="Normal 2 4 5 6 3" xfId="5523" xr:uid="{00000000-0005-0000-0000-0000C8100000}"/>
    <cellStyle name="Normal 2 4 5 7" xfId="1628" xr:uid="{00000000-0005-0000-0000-0000C9100000}"/>
    <cellStyle name="Normal 2 4 5 7 2" xfId="3858" xr:uid="{00000000-0005-0000-0000-0000CA100000}"/>
    <cellStyle name="Normal 2 4 5 7 2 2" xfId="8081" xr:uid="{00000000-0005-0000-0000-0000CB100000}"/>
    <cellStyle name="Normal 2 4 5 7 3" xfId="5936" xr:uid="{00000000-0005-0000-0000-0000CC100000}"/>
    <cellStyle name="Normal 2 4 5 8" xfId="2042" xr:uid="{00000000-0005-0000-0000-0000CD100000}"/>
    <cellStyle name="Normal 2 4 5 8 2" xfId="4271" xr:uid="{00000000-0005-0000-0000-0000CE100000}"/>
    <cellStyle name="Normal 2 4 5 8 2 2" xfId="8494" xr:uid="{00000000-0005-0000-0000-0000CF100000}"/>
    <cellStyle name="Normal 2 4 5 8 3" xfId="6349" xr:uid="{00000000-0005-0000-0000-0000D0100000}"/>
    <cellStyle name="Normal 2 4 5 9" xfId="2478" xr:uid="{00000000-0005-0000-0000-0000D1100000}"/>
    <cellStyle name="Normal 2 4 5 9 2" xfId="6762"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4" xr:uid="{00000000-0005-0000-0000-0000D8100000}"/>
    <cellStyle name="Normal 2 4 7 2 2 3" xfId="5119" xr:uid="{00000000-0005-0000-0000-0000D9100000}"/>
    <cellStyle name="Normal 2 4 7 2 3" xfId="1224" xr:uid="{00000000-0005-0000-0000-0000DA100000}"/>
    <cellStyle name="Normal 2 4 7 2 3 2" xfId="3454" xr:uid="{00000000-0005-0000-0000-0000DB100000}"/>
    <cellStyle name="Normal 2 4 7 2 3 2 2" xfId="7677" xr:uid="{00000000-0005-0000-0000-0000DC100000}"/>
    <cellStyle name="Normal 2 4 7 2 3 3" xfId="5532" xr:uid="{00000000-0005-0000-0000-0000DD100000}"/>
    <cellStyle name="Normal 2 4 7 2 4" xfId="1637" xr:uid="{00000000-0005-0000-0000-0000DE100000}"/>
    <cellStyle name="Normal 2 4 7 2 4 2" xfId="3867" xr:uid="{00000000-0005-0000-0000-0000DF100000}"/>
    <cellStyle name="Normal 2 4 7 2 4 2 2" xfId="8090" xr:uid="{00000000-0005-0000-0000-0000E0100000}"/>
    <cellStyle name="Normal 2 4 7 2 4 3" xfId="5945" xr:uid="{00000000-0005-0000-0000-0000E1100000}"/>
    <cellStyle name="Normal 2 4 7 2 5" xfId="2051" xr:uid="{00000000-0005-0000-0000-0000E2100000}"/>
    <cellStyle name="Normal 2 4 7 2 5 2" xfId="4280" xr:uid="{00000000-0005-0000-0000-0000E3100000}"/>
    <cellStyle name="Normal 2 4 7 2 5 2 2" xfId="8503" xr:uid="{00000000-0005-0000-0000-0000E4100000}"/>
    <cellStyle name="Normal 2 4 7 2 5 3" xfId="6358" xr:uid="{00000000-0005-0000-0000-0000E5100000}"/>
    <cellStyle name="Normal 2 4 7 2 6" xfId="2487" xr:uid="{00000000-0005-0000-0000-0000E6100000}"/>
    <cellStyle name="Normal 2 4 7 2 6 2" xfId="6771" xr:uid="{00000000-0005-0000-0000-0000E7100000}"/>
    <cellStyle name="Normal 2 4 7 2 7" xfId="4705" xr:uid="{00000000-0005-0000-0000-0000E8100000}"/>
    <cellStyle name="Normal 2 4 7 3" xfId="801" xr:uid="{00000000-0005-0000-0000-0000E9100000}"/>
    <cellStyle name="Normal 2 4 7 3 2" xfId="3040" xr:uid="{00000000-0005-0000-0000-0000EA100000}"/>
    <cellStyle name="Normal 2 4 7 3 2 2" xfId="7263" xr:uid="{00000000-0005-0000-0000-0000EB100000}"/>
    <cellStyle name="Normal 2 4 7 3 3" xfId="5118" xr:uid="{00000000-0005-0000-0000-0000EC100000}"/>
    <cellStyle name="Normal 2 4 7 4" xfId="1223" xr:uid="{00000000-0005-0000-0000-0000ED100000}"/>
    <cellStyle name="Normal 2 4 7 4 2" xfId="3453" xr:uid="{00000000-0005-0000-0000-0000EE100000}"/>
    <cellStyle name="Normal 2 4 7 4 2 2" xfId="7676" xr:uid="{00000000-0005-0000-0000-0000EF100000}"/>
    <cellStyle name="Normal 2 4 7 4 3" xfId="5531" xr:uid="{00000000-0005-0000-0000-0000F0100000}"/>
    <cellStyle name="Normal 2 4 7 5" xfId="1636" xr:uid="{00000000-0005-0000-0000-0000F1100000}"/>
    <cellStyle name="Normal 2 4 7 5 2" xfId="3866" xr:uid="{00000000-0005-0000-0000-0000F2100000}"/>
    <cellStyle name="Normal 2 4 7 5 2 2" xfId="8089" xr:uid="{00000000-0005-0000-0000-0000F3100000}"/>
    <cellStyle name="Normal 2 4 7 5 3" xfId="5944" xr:uid="{00000000-0005-0000-0000-0000F4100000}"/>
    <cellStyle name="Normal 2 4 7 6" xfId="2050" xr:uid="{00000000-0005-0000-0000-0000F5100000}"/>
    <cellStyle name="Normal 2 4 7 6 2" xfId="4279" xr:uid="{00000000-0005-0000-0000-0000F6100000}"/>
    <cellStyle name="Normal 2 4 7 6 2 2" xfId="8502" xr:uid="{00000000-0005-0000-0000-0000F7100000}"/>
    <cellStyle name="Normal 2 4 7 6 3" xfId="6357" xr:uid="{00000000-0005-0000-0000-0000F8100000}"/>
    <cellStyle name="Normal 2 4 7 7" xfId="2486" xr:uid="{00000000-0005-0000-0000-0000F9100000}"/>
    <cellStyle name="Normal 2 4 7 7 2" xfId="6770" xr:uid="{00000000-0005-0000-0000-0000FA100000}"/>
    <cellStyle name="Normal 2 4 7 8" xfId="4704"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5" xr:uid="{00000000-0005-0000-0000-0000FF100000}"/>
    <cellStyle name="Normal 2 4 8 2 3" xfId="5120" xr:uid="{00000000-0005-0000-0000-000000110000}"/>
    <cellStyle name="Normal 2 4 8 3" xfId="1225" xr:uid="{00000000-0005-0000-0000-000001110000}"/>
    <cellStyle name="Normal 2 4 8 3 2" xfId="3455" xr:uid="{00000000-0005-0000-0000-000002110000}"/>
    <cellStyle name="Normal 2 4 8 3 2 2" xfId="7678" xr:uid="{00000000-0005-0000-0000-000003110000}"/>
    <cellStyle name="Normal 2 4 8 3 3" xfId="5533" xr:uid="{00000000-0005-0000-0000-000004110000}"/>
    <cellStyle name="Normal 2 4 8 4" xfId="1638" xr:uid="{00000000-0005-0000-0000-000005110000}"/>
    <cellStyle name="Normal 2 4 8 4 2" xfId="3868" xr:uid="{00000000-0005-0000-0000-000006110000}"/>
    <cellStyle name="Normal 2 4 8 4 2 2" xfId="8091" xr:uid="{00000000-0005-0000-0000-000007110000}"/>
    <cellStyle name="Normal 2 4 8 4 3" xfId="5946" xr:uid="{00000000-0005-0000-0000-000008110000}"/>
    <cellStyle name="Normal 2 4 8 5" xfId="2052" xr:uid="{00000000-0005-0000-0000-000009110000}"/>
    <cellStyle name="Normal 2 4 8 5 2" xfId="4281" xr:uid="{00000000-0005-0000-0000-00000A110000}"/>
    <cellStyle name="Normal 2 4 8 5 2 2" xfId="8504" xr:uid="{00000000-0005-0000-0000-00000B110000}"/>
    <cellStyle name="Normal 2 4 8 5 3" xfId="6359" xr:uid="{00000000-0005-0000-0000-00000C110000}"/>
    <cellStyle name="Normal 2 4 8 6" xfId="2488" xr:uid="{00000000-0005-0000-0000-00000D110000}"/>
    <cellStyle name="Normal 2 4 8 6 2" xfId="6772" xr:uid="{00000000-0005-0000-0000-00000E110000}"/>
    <cellStyle name="Normal 2 4 8 7" xfId="4706" xr:uid="{00000000-0005-0000-0000-00000F110000}"/>
    <cellStyle name="Normal 2 5" xfId="315" xr:uid="{00000000-0005-0000-0000-000010110000}"/>
    <cellStyle name="Normal 2 5 10" xfId="4707"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69" xr:uid="{00000000-0005-0000-0000-000019110000}"/>
    <cellStyle name="Normal 2 5 4 2 2 2 3" xfId="5124" xr:uid="{00000000-0005-0000-0000-00001A110000}"/>
    <cellStyle name="Normal 2 5 4 2 2 3" xfId="1229" xr:uid="{00000000-0005-0000-0000-00001B110000}"/>
    <cellStyle name="Normal 2 5 4 2 2 3 2" xfId="3459" xr:uid="{00000000-0005-0000-0000-00001C110000}"/>
    <cellStyle name="Normal 2 5 4 2 2 3 2 2" xfId="7682" xr:uid="{00000000-0005-0000-0000-00001D110000}"/>
    <cellStyle name="Normal 2 5 4 2 2 3 3" xfId="5537" xr:uid="{00000000-0005-0000-0000-00001E110000}"/>
    <cellStyle name="Normal 2 5 4 2 2 4" xfId="1642" xr:uid="{00000000-0005-0000-0000-00001F110000}"/>
    <cellStyle name="Normal 2 5 4 2 2 4 2" xfId="3872" xr:uid="{00000000-0005-0000-0000-000020110000}"/>
    <cellStyle name="Normal 2 5 4 2 2 4 2 2" xfId="8095" xr:uid="{00000000-0005-0000-0000-000021110000}"/>
    <cellStyle name="Normal 2 5 4 2 2 4 3" xfId="5950" xr:uid="{00000000-0005-0000-0000-000022110000}"/>
    <cellStyle name="Normal 2 5 4 2 2 5" xfId="2056" xr:uid="{00000000-0005-0000-0000-000023110000}"/>
    <cellStyle name="Normal 2 5 4 2 2 5 2" xfId="4285" xr:uid="{00000000-0005-0000-0000-000024110000}"/>
    <cellStyle name="Normal 2 5 4 2 2 5 2 2" xfId="8508" xr:uid="{00000000-0005-0000-0000-000025110000}"/>
    <cellStyle name="Normal 2 5 4 2 2 5 3" xfId="6363" xr:uid="{00000000-0005-0000-0000-000026110000}"/>
    <cellStyle name="Normal 2 5 4 2 2 6" xfId="2492" xr:uid="{00000000-0005-0000-0000-000027110000}"/>
    <cellStyle name="Normal 2 5 4 2 2 6 2" xfId="6776" xr:uid="{00000000-0005-0000-0000-000028110000}"/>
    <cellStyle name="Normal 2 5 4 2 2 7" xfId="4710" xr:uid="{00000000-0005-0000-0000-000029110000}"/>
    <cellStyle name="Normal 2 5 4 2 3" xfId="806" xr:uid="{00000000-0005-0000-0000-00002A110000}"/>
    <cellStyle name="Normal 2 5 4 2 3 2" xfId="3045" xr:uid="{00000000-0005-0000-0000-00002B110000}"/>
    <cellStyle name="Normal 2 5 4 2 3 2 2" xfId="7268" xr:uid="{00000000-0005-0000-0000-00002C110000}"/>
    <cellStyle name="Normal 2 5 4 2 3 3" xfId="5123" xr:uid="{00000000-0005-0000-0000-00002D110000}"/>
    <cellStyle name="Normal 2 5 4 2 4" xfId="1228" xr:uid="{00000000-0005-0000-0000-00002E110000}"/>
    <cellStyle name="Normal 2 5 4 2 4 2" xfId="3458" xr:uid="{00000000-0005-0000-0000-00002F110000}"/>
    <cellStyle name="Normal 2 5 4 2 4 2 2" xfId="7681" xr:uid="{00000000-0005-0000-0000-000030110000}"/>
    <cellStyle name="Normal 2 5 4 2 4 3" xfId="5536" xr:uid="{00000000-0005-0000-0000-000031110000}"/>
    <cellStyle name="Normal 2 5 4 2 5" xfId="1641" xr:uid="{00000000-0005-0000-0000-000032110000}"/>
    <cellStyle name="Normal 2 5 4 2 5 2" xfId="3871" xr:uid="{00000000-0005-0000-0000-000033110000}"/>
    <cellStyle name="Normal 2 5 4 2 5 2 2" xfId="8094" xr:uid="{00000000-0005-0000-0000-000034110000}"/>
    <cellStyle name="Normal 2 5 4 2 5 3" xfId="5949" xr:uid="{00000000-0005-0000-0000-000035110000}"/>
    <cellStyle name="Normal 2 5 4 2 6" xfId="2055" xr:uid="{00000000-0005-0000-0000-000036110000}"/>
    <cellStyle name="Normal 2 5 4 2 6 2" xfId="4284" xr:uid="{00000000-0005-0000-0000-000037110000}"/>
    <cellStyle name="Normal 2 5 4 2 6 2 2" xfId="8507" xr:uid="{00000000-0005-0000-0000-000038110000}"/>
    <cellStyle name="Normal 2 5 4 2 6 3" xfId="6362" xr:uid="{00000000-0005-0000-0000-000039110000}"/>
    <cellStyle name="Normal 2 5 4 2 7" xfId="2491" xr:uid="{00000000-0005-0000-0000-00003A110000}"/>
    <cellStyle name="Normal 2 5 4 2 7 2" xfId="6775" xr:uid="{00000000-0005-0000-0000-00003B110000}"/>
    <cellStyle name="Normal 2 5 4 2 8" xfId="4709"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0" xr:uid="{00000000-0005-0000-0000-000040110000}"/>
    <cellStyle name="Normal 2 5 4 3 2 3" xfId="5125" xr:uid="{00000000-0005-0000-0000-000041110000}"/>
    <cellStyle name="Normal 2 5 4 3 3" xfId="1230" xr:uid="{00000000-0005-0000-0000-000042110000}"/>
    <cellStyle name="Normal 2 5 4 3 3 2" xfId="3460" xr:uid="{00000000-0005-0000-0000-000043110000}"/>
    <cellStyle name="Normal 2 5 4 3 3 2 2" xfId="7683" xr:uid="{00000000-0005-0000-0000-000044110000}"/>
    <cellStyle name="Normal 2 5 4 3 3 3" xfId="5538" xr:uid="{00000000-0005-0000-0000-000045110000}"/>
    <cellStyle name="Normal 2 5 4 3 4" xfId="1643" xr:uid="{00000000-0005-0000-0000-000046110000}"/>
    <cellStyle name="Normal 2 5 4 3 4 2" xfId="3873" xr:uid="{00000000-0005-0000-0000-000047110000}"/>
    <cellStyle name="Normal 2 5 4 3 4 2 2" xfId="8096" xr:uid="{00000000-0005-0000-0000-000048110000}"/>
    <cellStyle name="Normal 2 5 4 3 4 3" xfId="5951" xr:uid="{00000000-0005-0000-0000-000049110000}"/>
    <cellStyle name="Normal 2 5 4 3 5" xfId="2057" xr:uid="{00000000-0005-0000-0000-00004A110000}"/>
    <cellStyle name="Normal 2 5 4 3 5 2" xfId="4286" xr:uid="{00000000-0005-0000-0000-00004B110000}"/>
    <cellStyle name="Normal 2 5 4 3 5 2 2" xfId="8509" xr:uid="{00000000-0005-0000-0000-00004C110000}"/>
    <cellStyle name="Normal 2 5 4 3 5 3" xfId="6364" xr:uid="{00000000-0005-0000-0000-00004D110000}"/>
    <cellStyle name="Normal 2 5 4 3 6" xfId="2493" xr:uid="{00000000-0005-0000-0000-00004E110000}"/>
    <cellStyle name="Normal 2 5 4 3 6 2" xfId="6777" xr:uid="{00000000-0005-0000-0000-00004F110000}"/>
    <cellStyle name="Normal 2 5 4 3 7" xfId="4711" xr:uid="{00000000-0005-0000-0000-000050110000}"/>
    <cellStyle name="Normal 2 5 4 4" xfId="805" xr:uid="{00000000-0005-0000-0000-000051110000}"/>
    <cellStyle name="Normal 2 5 4 4 2" xfId="3044" xr:uid="{00000000-0005-0000-0000-000052110000}"/>
    <cellStyle name="Normal 2 5 4 4 2 2" xfId="7267" xr:uid="{00000000-0005-0000-0000-000053110000}"/>
    <cellStyle name="Normal 2 5 4 4 3" xfId="5122" xr:uid="{00000000-0005-0000-0000-000054110000}"/>
    <cellStyle name="Normal 2 5 4 5" xfId="1227" xr:uid="{00000000-0005-0000-0000-000055110000}"/>
    <cellStyle name="Normal 2 5 4 5 2" xfId="3457" xr:uid="{00000000-0005-0000-0000-000056110000}"/>
    <cellStyle name="Normal 2 5 4 5 2 2" xfId="7680" xr:uid="{00000000-0005-0000-0000-000057110000}"/>
    <cellStyle name="Normal 2 5 4 5 3" xfId="5535" xr:uid="{00000000-0005-0000-0000-000058110000}"/>
    <cellStyle name="Normal 2 5 4 6" xfId="1640" xr:uid="{00000000-0005-0000-0000-000059110000}"/>
    <cellStyle name="Normal 2 5 4 6 2" xfId="3870" xr:uid="{00000000-0005-0000-0000-00005A110000}"/>
    <cellStyle name="Normal 2 5 4 6 2 2" xfId="8093" xr:uid="{00000000-0005-0000-0000-00005B110000}"/>
    <cellStyle name="Normal 2 5 4 6 3" xfId="5948" xr:uid="{00000000-0005-0000-0000-00005C110000}"/>
    <cellStyle name="Normal 2 5 4 7" xfId="2054" xr:uid="{00000000-0005-0000-0000-00005D110000}"/>
    <cellStyle name="Normal 2 5 4 7 2" xfId="4283" xr:uid="{00000000-0005-0000-0000-00005E110000}"/>
    <cellStyle name="Normal 2 5 4 7 2 2" xfId="8506" xr:uid="{00000000-0005-0000-0000-00005F110000}"/>
    <cellStyle name="Normal 2 5 4 7 3" xfId="6361" xr:uid="{00000000-0005-0000-0000-000060110000}"/>
    <cellStyle name="Normal 2 5 4 8" xfId="2490" xr:uid="{00000000-0005-0000-0000-000061110000}"/>
    <cellStyle name="Normal 2 5 4 8 2" xfId="6774" xr:uid="{00000000-0005-0000-0000-000062110000}"/>
    <cellStyle name="Normal 2 5 4 9" xfId="4708" xr:uid="{00000000-0005-0000-0000-000063110000}"/>
    <cellStyle name="Normal 2 5 5" xfId="804" xr:uid="{00000000-0005-0000-0000-000064110000}"/>
    <cellStyle name="Normal 2 5 5 2" xfId="3043" xr:uid="{00000000-0005-0000-0000-000065110000}"/>
    <cellStyle name="Normal 2 5 5 2 2" xfId="7266" xr:uid="{00000000-0005-0000-0000-000066110000}"/>
    <cellStyle name="Normal 2 5 5 3" xfId="5121" xr:uid="{00000000-0005-0000-0000-000067110000}"/>
    <cellStyle name="Normal 2 5 6" xfId="1226" xr:uid="{00000000-0005-0000-0000-000068110000}"/>
    <cellStyle name="Normal 2 5 6 2" xfId="3456" xr:uid="{00000000-0005-0000-0000-000069110000}"/>
    <cellStyle name="Normal 2 5 6 2 2" xfId="7679" xr:uid="{00000000-0005-0000-0000-00006A110000}"/>
    <cellStyle name="Normal 2 5 6 3" xfId="5534" xr:uid="{00000000-0005-0000-0000-00006B110000}"/>
    <cellStyle name="Normal 2 5 7" xfId="1639" xr:uid="{00000000-0005-0000-0000-00006C110000}"/>
    <cellStyle name="Normal 2 5 7 2" xfId="3869" xr:uid="{00000000-0005-0000-0000-00006D110000}"/>
    <cellStyle name="Normal 2 5 7 2 2" xfId="8092" xr:uid="{00000000-0005-0000-0000-00006E110000}"/>
    <cellStyle name="Normal 2 5 7 3" xfId="5947" xr:uid="{00000000-0005-0000-0000-00006F110000}"/>
    <cellStyle name="Normal 2 5 8" xfId="2053" xr:uid="{00000000-0005-0000-0000-000070110000}"/>
    <cellStyle name="Normal 2 5 8 2" xfId="4282" xr:uid="{00000000-0005-0000-0000-000071110000}"/>
    <cellStyle name="Normal 2 5 8 2 2" xfId="8505" xr:uid="{00000000-0005-0000-0000-000072110000}"/>
    <cellStyle name="Normal 2 5 8 3" xfId="6360" xr:uid="{00000000-0005-0000-0000-000073110000}"/>
    <cellStyle name="Normal 2 5 9" xfId="2489" xr:uid="{00000000-0005-0000-0000-000074110000}"/>
    <cellStyle name="Normal 2 5 9 2" xfId="6773"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4" xr:uid="{00000000-0005-0000-0000-000082110000}"/>
    <cellStyle name="Normal 3 2 3 2 2 2 3" xfId="5129" xr:uid="{00000000-0005-0000-0000-000083110000}"/>
    <cellStyle name="Normal 3 2 3 2 2 3" xfId="1234" xr:uid="{00000000-0005-0000-0000-000084110000}"/>
    <cellStyle name="Normal 3 2 3 2 2 3 2" xfId="3464" xr:uid="{00000000-0005-0000-0000-000085110000}"/>
    <cellStyle name="Normal 3 2 3 2 2 3 2 2" xfId="7687" xr:uid="{00000000-0005-0000-0000-000086110000}"/>
    <cellStyle name="Normal 3 2 3 2 2 3 3" xfId="5542" xr:uid="{00000000-0005-0000-0000-000087110000}"/>
    <cellStyle name="Normal 3 2 3 2 2 4" xfId="1647" xr:uid="{00000000-0005-0000-0000-000088110000}"/>
    <cellStyle name="Normal 3 2 3 2 2 4 2" xfId="3877" xr:uid="{00000000-0005-0000-0000-000089110000}"/>
    <cellStyle name="Normal 3 2 3 2 2 4 2 2" xfId="8100" xr:uid="{00000000-0005-0000-0000-00008A110000}"/>
    <cellStyle name="Normal 3 2 3 2 2 4 3" xfId="5955" xr:uid="{00000000-0005-0000-0000-00008B110000}"/>
    <cellStyle name="Normal 3 2 3 2 2 5" xfId="2061" xr:uid="{00000000-0005-0000-0000-00008C110000}"/>
    <cellStyle name="Normal 3 2 3 2 2 5 2" xfId="4290" xr:uid="{00000000-0005-0000-0000-00008D110000}"/>
    <cellStyle name="Normal 3 2 3 2 2 5 2 2" xfId="8513" xr:uid="{00000000-0005-0000-0000-00008E110000}"/>
    <cellStyle name="Normal 3 2 3 2 2 5 3" xfId="6368" xr:uid="{00000000-0005-0000-0000-00008F110000}"/>
    <cellStyle name="Normal 3 2 3 2 2 6" xfId="2497" xr:uid="{00000000-0005-0000-0000-000090110000}"/>
    <cellStyle name="Normal 3 2 3 2 2 6 2" xfId="6781" xr:uid="{00000000-0005-0000-0000-000091110000}"/>
    <cellStyle name="Normal 3 2 3 2 2 7" xfId="4715" xr:uid="{00000000-0005-0000-0000-000092110000}"/>
    <cellStyle name="Normal 3 2 3 2 3" xfId="813" xr:uid="{00000000-0005-0000-0000-000093110000}"/>
    <cellStyle name="Normal 3 2 3 2 3 2" xfId="3050" xr:uid="{00000000-0005-0000-0000-000094110000}"/>
    <cellStyle name="Normal 3 2 3 2 3 2 2" xfId="7273" xr:uid="{00000000-0005-0000-0000-000095110000}"/>
    <cellStyle name="Normal 3 2 3 2 3 3" xfId="5128" xr:uid="{00000000-0005-0000-0000-000096110000}"/>
    <cellStyle name="Normal 3 2 3 2 4" xfId="1233" xr:uid="{00000000-0005-0000-0000-000097110000}"/>
    <cellStyle name="Normal 3 2 3 2 4 2" xfId="3463" xr:uid="{00000000-0005-0000-0000-000098110000}"/>
    <cellStyle name="Normal 3 2 3 2 4 2 2" xfId="7686" xr:uid="{00000000-0005-0000-0000-000099110000}"/>
    <cellStyle name="Normal 3 2 3 2 4 3" xfId="5541" xr:uid="{00000000-0005-0000-0000-00009A110000}"/>
    <cellStyle name="Normal 3 2 3 2 5" xfId="1646" xr:uid="{00000000-0005-0000-0000-00009B110000}"/>
    <cellStyle name="Normal 3 2 3 2 5 2" xfId="3876" xr:uid="{00000000-0005-0000-0000-00009C110000}"/>
    <cellStyle name="Normal 3 2 3 2 5 2 2" xfId="8099" xr:uid="{00000000-0005-0000-0000-00009D110000}"/>
    <cellStyle name="Normal 3 2 3 2 5 3" xfId="5954" xr:uid="{00000000-0005-0000-0000-00009E110000}"/>
    <cellStyle name="Normal 3 2 3 2 6" xfId="2060" xr:uid="{00000000-0005-0000-0000-00009F110000}"/>
    <cellStyle name="Normal 3 2 3 2 6 2" xfId="4289" xr:uid="{00000000-0005-0000-0000-0000A0110000}"/>
    <cellStyle name="Normal 3 2 3 2 6 2 2" xfId="8512" xr:uid="{00000000-0005-0000-0000-0000A1110000}"/>
    <cellStyle name="Normal 3 2 3 2 6 3" xfId="6367" xr:uid="{00000000-0005-0000-0000-0000A2110000}"/>
    <cellStyle name="Normal 3 2 3 2 7" xfId="2496" xr:uid="{00000000-0005-0000-0000-0000A3110000}"/>
    <cellStyle name="Normal 3 2 3 2 7 2" xfId="6780" xr:uid="{00000000-0005-0000-0000-0000A4110000}"/>
    <cellStyle name="Normal 3 2 3 2 8" xfId="4714"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5" xr:uid="{00000000-0005-0000-0000-0000A9110000}"/>
    <cellStyle name="Normal 3 2 3 3 2 3" xfId="5130" xr:uid="{00000000-0005-0000-0000-0000AA110000}"/>
    <cellStyle name="Normal 3 2 3 3 3" xfId="1235" xr:uid="{00000000-0005-0000-0000-0000AB110000}"/>
    <cellStyle name="Normal 3 2 3 3 3 2" xfId="3465" xr:uid="{00000000-0005-0000-0000-0000AC110000}"/>
    <cellStyle name="Normal 3 2 3 3 3 2 2" xfId="7688" xr:uid="{00000000-0005-0000-0000-0000AD110000}"/>
    <cellStyle name="Normal 3 2 3 3 3 3" xfId="5543" xr:uid="{00000000-0005-0000-0000-0000AE110000}"/>
    <cellStyle name="Normal 3 2 3 3 4" xfId="1648" xr:uid="{00000000-0005-0000-0000-0000AF110000}"/>
    <cellStyle name="Normal 3 2 3 3 4 2" xfId="3878" xr:uid="{00000000-0005-0000-0000-0000B0110000}"/>
    <cellStyle name="Normal 3 2 3 3 4 2 2" xfId="8101" xr:uid="{00000000-0005-0000-0000-0000B1110000}"/>
    <cellStyle name="Normal 3 2 3 3 4 3" xfId="5956" xr:uid="{00000000-0005-0000-0000-0000B2110000}"/>
    <cellStyle name="Normal 3 2 3 3 5" xfId="2062" xr:uid="{00000000-0005-0000-0000-0000B3110000}"/>
    <cellStyle name="Normal 3 2 3 3 5 2" xfId="4291" xr:uid="{00000000-0005-0000-0000-0000B4110000}"/>
    <cellStyle name="Normal 3 2 3 3 5 2 2" xfId="8514" xr:uid="{00000000-0005-0000-0000-0000B5110000}"/>
    <cellStyle name="Normal 3 2 3 3 5 3" xfId="6369" xr:uid="{00000000-0005-0000-0000-0000B6110000}"/>
    <cellStyle name="Normal 3 2 3 3 6" xfId="2498" xr:uid="{00000000-0005-0000-0000-0000B7110000}"/>
    <cellStyle name="Normal 3 2 3 3 6 2" xfId="6782" xr:uid="{00000000-0005-0000-0000-0000B8110000}"/>
    <cellStyle name="Normal 3 2 3 3 7" xfId="4716" xr:uid="{00000000-0005-0000-0000-0000B9110000}"/>
    <cellStyle name="Normal 3 2 3 4" xfId="812" xr:uid="{00000000-0005-0000-0000-0000BA110000}"/>
    <cellStyle name="Normal 3 2 3 4 2" xfId="3049" xr:uid="{00000000-0005-0000-0000-0000BB110000}"/>
    <cellStyle name="Normal 3 2 3 4 2 2" xfId="7272" xr:uid="{00000000-0005-0000-0000-0000BC110000}"/>
    <cellStyle name="Normal 3 2 3 4 3" xfId="5127" xr:uid="{00000000-0005-0000-0000-0000BD110000}"/>
    <cellStyle name="Normal 3 2 3 5" xfId="1232" xr:uid="{00000000-0005-0000-0000-0000BE110000}"/>
    <cellStyle name="Normal 3 2 3 5 2" xfId="3462" xr:uid="{00000000-0005-0000-0000-0000BF110000}"/>
    <cellStyle name="Normal 3 2 3 5 2 2" xfId="7685" xr:uid="{00000000-0005-0000-0000-0000C0110000}"/>
    <cellStyle name="Normal 3 2 3 5 3" xfId="5540" xr:uid="{00000000-0005-0000-0000-0000C1110000}"/>
    <cellStyle name="Normal 3 2 3 6" xfId="1645" xr:uid="{00000000-0005-0000-0000-0000C2110000}"/>
    <cellStyle name="Normal 3 2 3 6 2" xfId="3875" xr:uid="{00000000-0005-0000-0000-0000C3110000}"/>
    <cellStyle name="Normal 3 2 3 6 2 2" xfId="8098" xr:uid="{00000000-0005-0000-0000-0000C4110000}"/>
    <cellStyle name="Normal 3 2 3 6 3" xfId="5953" xr:uid="{00000000-0005-0000-0000-0000C5110000}"/>
    <cellStyle name="Normal 3 2 3 7" xfId="2059" xr:uid="{00000000-0005-0000-0000-0000C6110000}"/>
    <cellStyle name="Normal 3 2 3 7 2" xfId="4288" xr:uid="{00000000-0005-0000-0000-0000C7110000}"/>
    <cellStyle name="Normal 3 2 3 7 2 2" xfId="8511" xr:uid="{00000000-0005-0000-0000-0000C8110000}"/>
    <cellStyle name="Normal 3 2 3 7 3" xfId="6366" xr:uid="{00000000-0005-0000-0000-0000C9110000}"/>
    <cellStyle name="Normal 3 2 3 8" xfId="2495" xr:uid="{00000000-0005-0000-0000-0000CA110000}"/>
    <cellStyle name="Normal 3 2 3 8 2" xfId="6779" xr:uid="{00000000-0005-0000-0000-0000CB110000}"/>
    <cellStyle name="Normal 3 2 3 9" xfId="4713" xr:uid="{00000000-0005-0000-0000-0000CC110000}"/>
    <cellStyle name="Normal 3 2 4" xfId="810" xr:uid="{00000000-0005-0000-0000-0000CD110000}"/>
    <cellStyle name="Normal 3 2 4 2" xfId="3048" xr:uid="{00000000-0005-0000-0000-0000CE110000}"/>
    <cellStyle name="Normal 3 2 4 2 2" xfId="7271" xr:uid="{00000000-0005-0000-0000-0000CF110000}"/>
    <cellStyle name="Normal 3 2 4 3" xfId="5126" xr:uid="{00000000-0005-0000-0000-0000D0110000}"/>
    <cellStyle name="Normal 3 2 5" xfId="1231" xr:uid="{00000000-0005-0000-0000-0000D1110000}"/>
    <cellStyle name="Normal 3 2 5 2" xfId="3461" xr:uid="{00000000-0005-0000-0000-0000D2110000}"/>
    <cellStyle name="Normal 3 2 5 2 2" xfId="7684" xr:uid="{00000000-0005-0000-0000-0000D3110000}"/>
    <cellStyle name="Normal 3 2 5 3" xfId="5539" xr:uid="{00000000-0005-0000-0000-0000D4110000}"/>
    <cellStyle name="Normal 3 2 6" xfId="1644" xr:uid="{00000000-0005-0000-0000-0000D5110000}"/>
    <cellStyle name="Normal 3 2 6 2" xfId="3874" xr:uid="{00000000-0005-0000-0000-0000D6110000}"/>
    <cellStyle name="Normal 3 2 6 2 2" xfId="8097" xr:uid="{00000000-0005-0000-0000-0000D7110000}"/>
    <cellStyle name="Normal 3 2 6 3" xfId="5952" xr:uid="{00000000-0005-0000-0000-0000D8110000}"/>
    <cellStyle name="Normal 3 2 7" xfId="2058" xr:uid="{00000000-0005-0000-0000-0000D9110000}"/>
    <cellStyle name="Normal 3 2 7 2" xfId="4287" xr:uid="{00000000-0005-0000-0000-0000DA110000}"/>
    <cellStyle name="Normal 3 2 7 2 2" xfId="8510" xr:uid="{00000000-0005-0000-0000-0000DB110000}"/>
    <cellStyle name="Normal 3 2 7 3" xfId="6365" xr:uid="{00000000-0005-0000-0000-0000DC110000}"/>
    <cellStyle name="Normal 3 2 8" xfId="2494" xr:uid="{00000000-0005-0000-0000-0000DD110000}"/>
    <cellStyle name="Normal 3 2 8 2" xfId="6778" xr:uid="{00000000-0005-0000-0000-0000DE110000}"/>
    <cellStyle name="Normal 3 2 9" xfId="4712"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5" xr:uid="{00000000-0005-0000-0000-0000EB110000}"/>
    <cellStyle name="Normal 4 2 2 10 3" xfId="6370" xr:uid="{00000000-0005-0000-0000-0000EC110000}"/>
    <cellStyle name="Normal 4 2 2 11" xfId="2499" xr:uid="{00000000-0005-0000-0000-0000ED110000}"/>
    <cellStyle name="Normal 4 2 2 11 2" xfId="6783" xr:uid="{00000000-0005-0000-0000-0000EE110000}"/>
    <cellStyle name="Normal 4 2 2 12" xfId="4718" xr:uid="{00000000-0005-0000-0000-0000EF110000}"/>
    <cellStyle name="Normal 4 2 2 2" xfId="338" xr:uid="{00000000-0005-0000-0000-0000F0110000}"/>
    <cellStyle name="Normal 4 2 2 3" xfId="339" xr:uid="{00000000-0005-0000-0000-0000F1110000}"/>
    <cellStyle name="Normal 4 2 2 3 10" xfId="4719"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0" xr:uid="{00000000-0005-0000-0000-0000F8110000}"/>
    <cellStyle name="Normal 4 2 2 3 2 2 2 2 3" xfId="5135" xr:uid="{00000000-0005-0000-0000-0000F9110000}"/>
    <cellStyle name="Normal 4 2 2 3 2 2 2 3" xfId="1240" xr:uid="{00000000-0005-0000-0000-0000FA110000}"/>
    <cellStyle name="Normal 4 2 2 3 2 2 2 3 2" xfId="3470" xr:uid="{00000000-0005-0000-0000-0000FB110000}"/>
    <cellStyle name="Normal 4 2 2 3 2 2 2 3 2 2" xfId="7693" xr:uid="{00000000-0005-0000-0000-0000FC110000}"/>
    <cellStyle name="Normal 4 2 2 3 2 2 2 3 3" xfId="5548" xr:uid="{00000000-0005-0000-0000-0000FD110000}"/>
    <cellStyle name="Normal 4 2 2 3 2 2 2 4" xfId="1653" xr:uid="{00000000-0005-0000-0000-0000FE110000}"/>
    <cellStyle name="Normal 4 2 2 3 2 2 2 4 2" xfId="3883" xr:uid="{00000000-0005-0000-0000-0000FF110000}"/>
    <cellStyle name="Normal 4 2 2 3 2 2 2 4 2 2" xfId="8106" xr:uid="{00000000-0005-0000-0000-000000120000}"/>
    <cellStyle name="Normal 4 2 2 3 2 2 2 4 3" xfId="5961" xr:uid="{00000000-0005-0000-0000-000001120000}"/>
    <cellStyle name="Normal 4 2 2 3 2 2 2 5" xfId="2067" xr:uid="{00000000-0005-0000-0000-000002120000}"/>
    <cellStyle name="Normal 4 2 2 3 2 2 2 5 2" xfId="4296" xr:uid="{00000000-0005-0000-0000-000003120000}"/>
    <cellStyle name="Normal 4 2 2 3 2 2 2 5 2 2" xfId="8519" xr:uid="{00000000-0005-0000-0000-000004120000}"/>
    <cellStyle name="Normal 4 2 2 3 2 2 2 5 3" xfId="6374" xr:uid="{00000000-0005-0000-0000-000005120000}"/>
    <cellStyle name="Normal 4 2 2 3 2 2 2 6" xfId="2503" xr:uid="{00000000-0005-0000-0000-000006120000}"/>
    <cellStyle name="Normal 4 2 2 3 2 2 2 6 2" xfId="6787" xr:uid="{00000000-0005-0000-0000-000007120000}"/>
    <cellStyle name="Normal 4 2 2 3 2 2 2 7" xfId="4722" xr:uid="{00000000-0005-0000-0000-000008120000}"/>
    <cellStyle name="Normal 4 2 2 3 2 2 3" xfId="819" xr:uid="{00000000-0005-0000-0000-000009120000}"/>
    <cellStyle name="Normal 4 2 2 3 2 2 3 2" xfId="3056" xr:uid="{00000000-0005-0000-0000-00000A120000}"/>
    <cellStyle name="Normal 4 2 2 3 2 2 3 2 2" xfId="7279" xr:uid="{00000000-0005-0000-0000-00000B120000}"/>
    <cellStyle name="Normal 4 2 2 3 2 2 3 3" xfId="5134" xr:uid="{00000000-0005-0000-0000-00000C120000}"/>
    <cellStyle name="Normal 4 2 2 3 2 2 4" xfId="1239" xr:uid="{00000000-0005-0000-0000-00000D120000}"/>
    <cellStyle name="Normal 4 2 2 3 2 2 4 2" xfId="3469" xr:uid="{00000000-0005-0000-0000-00000E120000}"/>
    <cellStyle name="Normal 4 2 2 3 2 2 4 2 2" xfId="7692" xr:uid="{00000000-0005-0000-0000-00000F120000}"/>
    <cellStyle name="Normal 4 2 2 3 2 2 4 3" xfId="5547" xr:uid="{00000000-0005-0000-0000-000010120000}"/>
    <cellStyle name="Normal 4 2 2 3 2 2 5" xfId="1652" xr:uid="{00000000-0005-0000-0000-000011120000}"/>
    <cellStyle name="Normal 4 2 2 3 2 2 5 2" xfId="3882" xr:uid="{00000000-0005-0000-0000-000012120000}"/>
    <cellStyle name="Normal 4 2 2 3 2 2 5 2 2" xfId="8105" xr:uid="{00000000-0005-0000-0000-000013120000}"/>
    <cellStyle name="Normal 4 2 2 3 2 2 5 3" xfId="5960" xr:uid="{00000000-0005-0000-0000-000014120000}"/>
    <cellStyle name="Normal 4 2 2 3 2 2 6" xfId="2066" xr:uid="{00000000-0005-0000-0000-000015120000}"/>
    <cellStyle name="Normal 4 2 2 3 2 2 6 2" xfId="4295" xr:uid="{00000000-0005-0000-0000-000016120000}"/>
    <cellStyle name="Normal 4 2 2 3 2 2 6 2 2" xfId="8518" xr:uid="{00000000-0005-0000-0000-000017120000}"/>
    <cellStyle name="Normal 4 2 2 3 2 2 6 3" xfId="6373" xr:uid="{00000000-0005-0000-0000-000018120000}"/>
    <cellStyle name="Normal 4 2 2 3 2 2 7" xfId="2502" xr:uid="{00000000-0005-0000-0000-000019120000}"/>
    <cellStyle name="Normal 4 2 2 3 2 2 7 2" xfId="6786" xr:uid="{00000000-0005-0000-0000-00001A120000}"/>
    <cellStyle name="Normal 4 2 2 3 2 2 8" xfId="4721"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1" xr:uid="{00000000-0005-0000-0000-00001F120000}"/>
    <cellStyle name="Normal 4 2 2 3 2 3 2 3" xfId="5136" xr:uid="{00000000-0005-0000-0000-000020120000}"/>
    <cellStyle name="Normal 4 2 2 3 2 3 3" xfId="1241" xr:uid="{00000000-0005-0000-0000-000021120000}"/>
    <cellStyle name="Normal 4 2 2 3 2 3 3 2" xfId="3471" xr:uid="{00000000-0005-0000-0000-000022120000}"/>
    <cellStyle name="Normal 4 2 2 3 2 3 3 2 2" xfId="7694" xr:uid="{00000000-0005-0000-0000-000023120000}"/>
    <cellStyle name="Normal 4 2 2 3 2 3 3 3" xfId="5549" xr:uid="{00000000-0005-0000-0000-000024120000}"/>
    <cellStyle name="Normal 4 2 2 3 2 3 4" xfId="1654" xr:uid="{00000000-0005-0000-0000-000025120000}"/>
    <cellStyle name="Normal 4 2 2 3 2 3 4 2" xfId="3884" xr:uid="{00000000-0005-0000-0000-000026120000}"/>
    <cellStyle name="Normal 4 2 2 3 2 3 4 2 2" xfId="8107" xr:uid="{00000000-0005-0000-0000-000027120000}"/>
    <cellStyle name="Normal 4 2 2 3 2 3 4 3" xfId="5962" xr:uid="{00000000-0005-0000-0000-000028120000}"/>
    <cellStyle name="Normal 4 2 2 3 2 3 5" xfId="2068" xr:uid="{00000000-0005-0000-0000-000029120000}"/>
    <cellStyle name="Normal 4 2 2 3 2 3 5 2" xfId="4297" xr:uid="{00000000-0005-0000-0000-00002A120000}"/>
    <cellStyle name="Normal 4 2 2 3 2 3 5 2 2" xfId="8520" xr:uid="{00000000-0005-0000-0000-00002B120000}"/>
    <cellStyle name="Normal 4 2 2 3 2 3 5 3" xfId="6375" xr:uid="{00000000-0005-0000-0000-00002C120000}"/>
    <cellStyle name="Normal 4 2 2 3 2 3 6" xfId="2504" xr:uid="{00000000-0005-0000-0000-00002D120000}"/>
    <cellStyle name="Normal 4 2 2 3 2 3 6 2" xfId="6788" xr:uid="{00000000-0005-0000-0000-00002E120000}"/>
    <cellStyle name="Normal 4 2 2 3 2 3 7" xfId="4723" xr:uid="{00000000-0005-0000-0000-00002F120000}"/>
    <cellStyle name="Normal 4 2 2 3 2 4" xfId="818" xr:uid="{00000000-0005-0000-0000-000030120000}"/>
    <cellStyle name="Normal 4 2 2 3 2 4 2" xfId="3055" xr:uid="{00000000-0005-0000-0000-000031120000}"/>
    <cellStyle name="Normal 4 2 2 3 2 4 2 2" xfId="7278" xr:uid="{00000000-0005-0000-0000-000032120000}"/>
    <cellStyle name="Normal 4 2 2 3 2 4 3" xfId="5133" xr:uid="{00000000-0005-0000-0000-000033120000}"/>
    <cellStyle name="Normal 4 2 2 3 2 5" xfId="1238" xr:uid="{00000000-0005-0000-0000-000034120000}"/>
    <cellStyle name="Normal 4 2 2 3 2 5 2" xfId="3468" xr:uid="{00000000-0005-0000-0000-000035120000}"/>
    <cellStyle name="Normal 4 2 2 3 2 5 2 2" xfId="7691" xr:uid="{00000000-0005-0000-0000-000036120000}"/>
    <cellStyle name="Normal 4 2 2 3 2 5 3" xfId="5546" xr:uid="{00000000-0005-0000-0000-000037120000}"/>
    <cellStyle name="Normal 4 2 2 3 2 6" xfId="1651" xr:uid="{00000000-0005-0000-0000-000038120000}"/>
    <cellStyle name="Normal 4 2 2 3 2 6 2" xfId="3881" xr:uid="{00000000-0005-0000-0000-000039120000}"/>
    <cellStyle name="Normal 4 2 2 3 2 6 2 2" xfId="8104" xr:uid="{00000000-0005-0000-0000-00003A120000}"/>
    <cellStyle name="Normal 4 2 2 3 2 6 3" xfId="5959" xr:uid="{00000000-0005-0000-0000-00003B120000}"/>
    <cellStyle name="Normal 4 2 2 3 2 7" xfId="2065" xr:uid="{00000000-0005-0000-0000-00003C120000}"/>
    <cellStyle name="Normal 4 2 2 3 2 7 2" xfId="4294" xr:uid="{00000000-0005-0000-0000-00003D120000}"/>
    <cellStyle name="Normal 4 2 2 3 2 7 2 2" xfId="8517" xr:uid="{00000000-0005-0000-0000-00003E120000}"/>
    <cellStyle name="Normal 4 2 2 3 2 7 3" xfId="6372" xr:uid="{00000000-0005-0000-0000-00003F120000}"/>
    <cellStyle name="Normal 4 2 2 3 2 8" xfId="2501" xr:uid="{00000000-0005-0000-0000-000040120000}"/>
    <cellStyle name="Normal 4 2 2 3 2 8 2" xfId="6785" xr:uid="{00000000-0005-0000-0000-000041120000}"/>
    <cellStyle name="Normal 4 2 2 3 2 9" xfId="4720"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3" xr:uid="{00000000-0005-0000-0000-000047120000}"/>
    <cellStyle name="Normal 4 2 2 3 3 2 2 3" xfId="5138" xr:uid="{00000000-0005-0000-0000-000048120000}"/>
    <cellStyle name="Normal 4 2 2 3 3 2 3" xfId="1243" xr:uid="{00000000-0005-0000-0000-000049120000}"/>
    <cellStyle name="Normal 4 2 2 3 3 2 3 2" xfId="3473" xr:uid="{00000000-0005-0000-0000-00004A120000}"/>
    <cellStyle name="Normal 4 2 2 3 3 2 3 2 2" xfId="7696" xr:uid="{00000000-0005-0000-0000-00004B120000}"/>
    <cellStyle name="Normal 4 2 2 3 3 2 3 3" xfId="5551" xr:uid="{00000000-0005-0000-0000-00004C120000}"/>
    <cellStyle name="Normal 4 2 2 3 3 2 4" xfId="1656" xr:uid="{00000000-0005-0000-0000-00004D120000}"/>
    <cellStyle name="Normal 4 2 2 3 3 2 4 2" xfId="3886" xr:uid="{00000000-0005-0000-0000-00004E120000}"/>
    <cellStyle name="Normal 4 2 2 3 3 2 4 2 2" xfId="8109" xr:uid="{00000000-0005-0000-0000-00004F120000}"/>
    <cellStyle name="Normal 4 2 2 3 3 2 4 3" xfId="5964" xr:uid="{00000000-0005-0000-0000-000050120000}"/>
    <cellStyle name="Normal 4 2 2 3 3 2 5" xfId="2070" xr:uid="{00000000-0005-0000-0000-000051120000}"/>
    <cellStyle name="Normal 4 2 2 3 3 2 5 2" xfId="4299" xr:uid="{00000000-0005-0000-0000-000052120000}"/>
    <cellStyle name="Normal 4 2 2 3 3 2 5 2 2" xfId="8522" xr:uid="{00000000-0005-0000-0000-000053120000}"/>
    <cellStyle name="Normal 4 2 2 3 3 2 5 3" xfId="6377" xr:uid="{00000000-0005-0000-0000-000054120000}"/>
    <cellStyle name="Normal 4 2 2 3 3 2 6" xfId="2506" xr:uid="{00000000-0005-0000-0000-000055120000}"/>
    <cellStyle name="Normal 4 2 2 3 3 2 6 2" xfId="6790" xr:uid="{00000000-0005-0000-0000-000056120000}"/>
    <cellStyle name="Normal 4 2 2 3 3 2 7" xfId="4725" xr:uid="{00000000-0005-0000-0000-000057120000}"/>
    <cellStyle name="Normal 4 2 2 3 3 3" xfId="822" xr:uid="{00000000-0005-0000-0000-000058120000}"/>
    <cellStyle name="Normal 4 2 2 3 3 3 2" xfId="3059" xr:uid="{00000000-0005-0000-0000-000059120000}"/>
    <cellStyle name="Normal 4 2 2 3 3 3 2 2" xfId="7282" xr:uid="{00000000-0005-0000-0000-00005A120000}"/>
    <cellStyle name="Normal 4 2 2 3 3 3 3" xfId="5137" xr:uid="{00000000-0005-0000-0000-00005B120000}"/>
    <cellStyle name="Normal 4 2 2 3 3 4" xfId="1242" xr:uid="{00000000-0005-0000-0000-00005C120000}"/>
    <cellStyle name="Normal 4 2 2 3 3 4 2" xfId="3472" xr:uid="{00000000-0005-0000-0000-00005D120000}"/>
    <cellStyle name="Normal 4 2 2 3 3 4 2 2" xfId="7695" xr:uid="{00000000-0005-0000-0000-00005E120000}"/>
    <cellStyle name="Normal 4 2 2 3 3 4 3" xfId="5550" xr:uid="{00000000-0005-0000-0000-00005F120000}"/>
    <cellStyle name="Normal 4 2 2 3 3 5" xfId="1655" xr:uid="{00000000-0005-0000-0000-000060120000}"/>
    <cellStyle name="Normal 4 2 2 3 3 5 2" xfId="3885" xr:uid="{00000000-0005-0000-0000-000061120000}"/>
    <cellStyle name="Normal 4 2 2 3 3 5 2 2" xfId="8108" xr:uid="{00000000-0005-0000-0000-000062120000}"/>
    <cellStyle name="Normal 4 2 2 3 3 5 3" xfId="5963" xr:uid="{00000000-0005-0000-0000-000063120000}"/>
    <cellStyle name="Normal 4 2 2 3 3 6" xfId="2069" xr:uid="{00000000-0005-0000-0000-000064120000}"/>
    <cellStyle name="Normal 4 2 2 3 3 6 2" xfId="4298" xr:uid="{00000000-0005-0000-0000-000065120000}"/>
    <cellStyle name="Normal 4 2 2 3 3 6 2 2" xfId="8521" xr:uid="{00000000-0005-0000-0000-000066120000}"/>
    <cellStyle name="Normal 4 2 2 3 3 6 3" xfId="6376" xr:uid="{00000000-0005-0000-0000-000067120000}"/>
    <cellStyle name="Normal 4 2 2 3 3 7" xfId="2505" xr:uid="{00000000-0005-0000-0000-000068120000}"/>
    <cellStyle name="Normal 4 2 2 3 3 7 2" xfId="6789" xr:uid="{00000000-0005-0000-0000-000069120000}"/>
    <cellStyle name="Normal 4 2 2 3 3 8" xfId="4724"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4" xr:uid="{00000000-0005-0000-0000-00006E120000}"/>
    <cellStyle name="Normal 4 2 2 3 4 2 3" xfId="5139" xr:uid="{00000000-0005-0000-0000-00006F120000}"/>
    <cellStyle name="Normal 4 2 2 3 4 3" xfId="1244" xr:uid="{00000000-0005-0000-0000-000070120000}"/>
    <cellStyle name="Normal 4 2 2 3 4 3 2" xfId="3474" xr:uid="{00000000-0005-0000-0000-000071120000}"/>
    <cellStyle name="Normal 4 2 2 3 4 3 2 2" xfId="7697" xr:uid="{00000000-0005-0000-0000-000072120000}"/>
    <cellStyle name="Normal 4 2 2 3 4 3 3" xfId="5552" xr:uid="{00000000-0005-0000-0000-000073120000}"/>
    <cellStyle name="Normal 4 2 2 3 4 4" xfId="1657" xr:uid="{00000000-0005-0000-0000-000074120000}"/>
    <cellStyle name="Normal 4 2 2 3 4 4 2" xfId="3887" xr:uid="{00000000-0005-0000-0000-000075120000}"/>
    <cellStyle name="Normal 4 2 2 3 4 4 2 2" xfId="8110" xr:uid="{00000000-0005-0000-0000-000076120000}"/>
    <cellStyle name="Normal 4 2 2 3 4 4 3" xfId="5965" xr:uid="{00000000-0005-0000-0000-000077120000}"/>
    <cellStyle name="Normal 4 2 2 3 4 5" xfId="2071" xr:uid="{00000000-0005-0000-0000-000078120000}"/>
    <cellStyle name="Normal 4 2 2 3 4 5 2" xfId="4300" xr:uid="{00000000-0005-0000-0000-000079120000}"/>
    <cellStyle name="Normal 4 2 2 3 4 5 2 2" xfId="8523" xr:uid="{00000000-0005-0000-0000-00007A120000}"/>
    <cellStyle name="Normal 4 2 2 3 4 5 3" xfId="6378" xr:uid="{00000000-0005-0000-0000-00007B120000}"/>
    <cellStyle name="Normal 4 2 2 3 4 6" xfId="2507" xr:uid="{00000000-0005-0000-0000-00007C120000}"/>
    <cellStyle name="Normal 4 2 2 3 4 6 2" xfId="6791" xr:uid="{00000000-0005-0000-0000-00007D120000}"/>
    <cellStyle name="Normal 4 2 2 3 4 7" xfId="4726" xr:uid="{00000000-0005-0000-0000-00007E120000}"/>
    <cellStyle name="Normal 4 2 2 3 5" xfId="817" xr:uid="{00000000-0005-0000-0000-00007F120000}"/>
    <cellStyle name="Normal 4 2 2 3 5 2" xfId="3054" xr:uid="{00000000-0005-0000-0000-000080120000}"/>
    <cellStyle name="Normal 4 2 2 3 5 2 2" xfId="7277" xr:uid="{00000000-0005-0000-0000-000081120000}"/>
    <cellStyle name="Normal 4 2 2 3 5 3" xfId="5132" xr:uid="{00000000-0005-0000-0000-000082120000}"/>
    <cellStyle name="Normal 4 2 2 3 6" xfId="1237" xr:uid="{00000000-0005-0000-0000-000083120000}"/>
    <cellStyle name="Normal 4 2 2 3 6 2" xfId="3467" xr:uid="{00000000-0005-0000-0000-000084120000}"/>
    <cellStyle name="Normal 4 2 2 3 6 2 2" xfId="7690" xr:uid="{00000000-0005-0000-0000-000085120000}"/>
    <cellStyle name="Normal 4 2 2 3 6 3" xfId="5545" xr:uid="{00000000-0005-0000-0000-000086120000}"/>
    <cellStyle name="Normal 4 2 2 3 7" xfId="1650" xr:uid="{00000000-0005-0000-0000-000087120000}"/>
    <cellStyle name="Normal 4 2 2 3 7 2" xfId="3880" xr:uid="{00000000-0005-0000-0000-000088120000}"/>
    <cellStyle name="Normal 4 2 2 3 7 2 2" xfId="8103" xr:uid="{00000000-0005-0000-0000-000089120000}"/>
    <cellStyle name="Normal 4 2 2 3 7 3" xfId="5958" xr:uid="{00000000-0005-0000-0000-00008A120000}"/>
    <cellStyle name="Normal 4 2 2 3 8" xfId="2064" xr:uid="{00000000-0005-0000-0000-00008B120000}"/>
    <cellStyle name="Normal 4 2 2 3 8 2" xfId="4293" xr:uid="{00000000-0005-0000-0000-00008C120000}"/>
    <cellStyle name="Normal 4 2 2 3 8 2 2" xfId="8516" xr:uid="{00000000-0005-0000-0000-00008D120000}"/>
    <cellStyle name="Normal 4 2 2 3 8 3" xfId="6371" xr:uid="{00000000-0005-0000-0000-00008E120000}"/>
    <cellStyle name="Normal 4 2 2 3 9" xfId="2500" xr:uid="{00000000-0005-0000-0000-00008F120000}"/>
    <cellStyle name="Normal 4 2 2 3 9 2" xfId="6784"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7" xr:uid="{00000000-0005-0000-0000-000096120000}"/>
    <cellStyle name="Normal 4 2 2 4 2 2 2 3" xfId="5142" xr:uid="{00000000-0005-0000-0000-000097120000}"/>
    <cellStyle name="Normal 4 2 2 4 2 2 3" xfId="1247" xr:uid="{00000000-0005-0000-0000-000098120000}"/>
    <cellStyle name="Normal 4 2 2 4 2 2 3 2" xfId="3477" xr:uid="{00000000-0005-0000-0000-000099120000}"/>
    <cellStyle name="Normal 4 2 2 4 2 2 3 2 2" xfId="7700" xr:uid="{00000000-0005-0000-0000-00009A120000}"/>
    <cellStyle name="Normal 4 2 2 4 2 2 3 3" xfId="5555" xr:uid="{00000000-0005-0000-0000-00009B120000}"/>
    <cellStyle name="Normal 4 2 2 4 2 2 4" xfId="1660" xr:uid="{00000000-0005-0000-0000-00009C120000}"/>
    <cellStyle name="Normal 4 2 2 4 2 2 4 2" xfId="3890" xr:uid="{00000000-0005-0000-0000-00009D120000}"/>
    <cellStyle name="Normal 4 2 2 4 2 2 4 2 2" xfId="8113" xr:uid="{00000000-0005-0000-0000-00009E120000}"/>
    <cellStyle name="Normal 4 2 2 4 2 2 4 3" xfId="5968" xr:uid="{00000000-0005-0000-0000-00009F120000}"/>
    <cellStyle name="Normal 4 2 2 4 2 2 5" xfId="2074" xr:uid="{00000000-0005-0000-0000-0000A0120000}"/>
    <cellStyle name="Normal 4 2 2 4 2 2 5 2" xfId="4303" xr:uid="{00000000-0005-0000-0000-0000A1120000}"/>
    <cellStyle name="Normal 4 2 2 4 2 2 5 2 2" xfId="8526" xr:uid="{00000000-0005-0000-0000-0000A2120000}"/>
    <cellStyle name="Normal 4 2 2 4 2 2 5 3" xfId="6381" xr:uid="{00000000-0005-0000-0000-0000A3120000}"/>
    <cellStyle name="Normal 4 2 2 4 2 2 6" xfId="2510" xr:uid="{00000000-0005-0000-0000-0000A4120000}"/>
    <cellStyle name="Normal 4 2 2 4 2 2 6 2" xfId="6794" xr:uid="{00000000-0005-0000-0000-0000A5120000}"/>
    <cellStyle name="Normal 4 2 2 4 2 2 7" xfId="4729" xr:uid="{00000000-0005-0000-0000-0000A6120000}"/>
    <cellStyle name="Normal 4 2 2 4 2 3" xfId="826" xr:uid="{00000000-0005-0000-0000-0000A7120000}"/>
    <cellStyle name="Normal 4 2 2 4 2 3 2" xfId="3063" xr:uid="{00000000-0005-0000-0000-0000A8120000}"/>
    <cellStyle name="Normal 4 2 2 4 2 3 2 2" xfId="7286" xr:uid="{00000000-0005-0000-0000-0000A9120000}"/>
    <cellStyle name="Normal 4 2 2 4 2 3 3" xfId="5141" xr:uid="{00000000-0005-0000-0000-0000AA120000}"/>
    <cellStyle name="Normal 4 2 2 4 2 4" xfId="1246" xr:uid="{00000000-0005-0000-0000-0000AB120000}"/>
    <cellStyle name="Normal 4 2 2 4 2 4 2" xfId="3476" xr:uid="{00000000-0005-0000-0000-0000AC120000}"/>
    <cellStyle name="Normal 4 2 2 4 2 4 2 2" xfId="7699" xr:uid="{00000000-0005-0000-0000-0000AD120000}"/>
    <cellStyle name="Normal 4 2 2 4 2 4 3" xfId="5554" xr:uid="{00000000-0005-0000-0000-0000AE120000}"/>
    <cellStyle name="Normal 4 2 2 4 2 5" xfId="1659" xr:uid="{00000000-0005-0000-0000-0000AF120000}"/>
    <cellStyle name="Normal 4 2 2 4 2 5 2" xfId="3889" xr:uid="{00000000-0005-0000-0000-0000B0120000}"/>
    <cellStyle name="Normal 4 2 2 4 2 5 2 2" xfId="8112" xr:uid="{00000000-0005-0000-0000-0000B1120000}"/>
    <cellStyle name="Normal 4 2 2 4 2 5 3" xfId="5967" xr:uid="{00000000-0005-0000-0000-0000B2120000}"/>
    <cellStyle name="Normal 4 2 2 4 2 6" xfId="2073" xr:uid="{00000000-0005-0000-0000-0000B3120000}"/>
    <cellStyle name="Normal 4 2 2 4 2 6 2" xfId="4302" xr:uid="{00000000-0005-0000-0000-0000B4120000}"/>
    <cellStyle name="Normal 4 2 2 4 2 6 2 2" xfId="8525" xr:uid="{00000000-0005-0000-0000-0000B5120000}"/>
    <cellStyle name="Normal 4 2 2 4 2 6 3" xfId="6380" xr:uid="{00000000-0005-0000-0000-0000B6120000}"/>
    <cellStyle name="Normal 4 2 2 4 2 7" xfId="2509" xr:uid="{00000000-0005-0000-0000-0000B7120000}"/>
    <cellStyle name="Normal 4 2 2 4 2 7 2" xfId="6793" xr:uid="{00000000-0005-0000-0000-0000B8120000}"/>
    <cellStyle name="Normal 4 2 2 4 2 8" xfId="4728"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8" xr:uid="{00000000-0005-0000-0000-0000BD120000}"/>
    <cellStyle name="Normal 4 2 2 4 3 2 3" xfId="5143" xr:uid="{00000000-0005-0000-0000-0000BE120000}"/>
    <cellStyle name="Normal 4 2 2 4 3 3" xfId="1248" xr:uid="{00000000-0005-0000-0000-0000BF120000}"/>
    <cellStyle name="Normal 4 2 2 4 3 3 2" xfId="3478" xr:uid="{00000000-0005-0000-0000-0000C0120000}"/>
    <cellStyle name="Normal 4 2 2 4 3 3 2 2" xfId="7701" xr:uid="{00000000-0005-0000-0000-0000C1120000}"/>
    <cellStyle name="Normal 4 2 2 4 3 3 3" xfId="5556" xr:uid="{00000000-0005-0000-0000-0000C2120000}"/>
    <cellStyle name="Normal 4 2 2 4 3 4" xfId="1661" xr:uid="{00000000-0005-0000-0000-0000C3120000}"/>
    <cellStyle name="Normal 4 2 2 4 3 4 2" xfId="3891" xr:uid="{00000000-0005-0000-0000-0000C4120000}"/>
    <cellStyle name="Normal 4 2 2 4 3 4 2 2" xfId="8114" xr:uid="{00000000-0005-0000-0000-0000C5120000}"/>
    <cellStyle name="Normal 4 2 2 4 3 4 3" xfId="5969" xr:uid="{00000000-0005-0000-0000-0000C6120000}"/>
    <cellStyle name="Normal 4 2 2 4 3 5" xfId="2075" xr:uid="{00000000-0005-0000-0000-0000C7120000}"/>
    <cellStyle name="Normal 4 2 2 4 3 5 2" xfId="4304" xr:uid="{00000000-0005-0000-0000-0000C8120000}"/>
    <cellStyle name="Normal 4 2 2 4 3 5 2 2" xfId="8527" xr:uid="{00000000-0005-0000-0000-0000C9120000}"/>
    <cellStyle name="Normal 4 2 2 4 3 5 3" xfId="6382" xr:uid="{00000000-0005-0000-0000-0000CA120000}"/>
    <cellStyle name="Normal 4 2 2 4 3 6" xfId="2511" xr:uid="{00000000-0005-0000-0000-0000CB120000}"/>
    <cellStyle name="Normal 4 2 2 4 3 6 2" xfId="6795" xr:uid="{00000000-0005-0000-0000-0000CC120000}"/>
    <cellStyle name="Normal 4 2 2 4 3 7" xfId="4730" xr:uid="{00000000-0005-0000-0000-0000CD120000}"/>
    <cellStyle name="Normal 4 2 2 4 4" xfId="825" xr:uid="{00000000-0005-0000-0000-0000CE120000}"/>
    <cellStyle name="Normal 4 2 2 4 4 2" xfId="3062" xr:uid="{00000000-0005-0000-0000-0000CF120000}"/>
    <cellStyle name="Normal 4 2 2 4 4 2 2" xfId="7285" xr:uid="{00000000-0005-0000-0000-0000D0120000}"/>
    <cellStyle name="Normal 4 2 2 4 4 3" xfId="5140" xr:uid="{00000000-0005-0000-0000-0000D1120000}"/>
    <cellStyle name="Normal 4 2 2 4 5" xfId="1245" xr:uid="{00000000-0005-0000-0000-0000D2120000}"/>
    <cellStyle name="Normal 4 2 2 4 5 2" xfId="3475" xr:uid="{00000000-0005-0000-0000-0000D3120000}"/>
    <cellStyle name="Normal 4 2 2 4 5 2 2" xfId="7698" xr:uid="{00000000-0005-0000-0000-0000D4120000}"/>
    <cellStyle name="Normal 4 2 2 4 5 3" xfId="5553" xr:uid="{00000000-0005-0000-0000-0000D5120000}"/>
    <cellStyle name="Normal 4 2 2 4 6" xfId="1658" xr:uid="{00000000-0005-0000-0000-0000D6120000}"/>
    <cellStyle name="Normal 4 2 2 4 6 2" xfId="3888" xr:uid="{00000000-0005-0000-0000-0000D7120000}"/>
    <cellStyle name="Normal 4 2 2 4 6 2 2" xfId="8111" xr:uid="{00000000-0005-0000-0000-0000D8120000}"/>
    <cellStyle name="Normal 4 2 2 4 6 3" xfId="5966" xr:uid="{00000000-0005-0000-0000-0000D9120000}"/>
    <cellStyle name="Normal 4 2 2 4 7" xfId="2072" xr:uid="{00000000-0005-0000-0000-0000DA120000}"/>
    <cellStyle name="Normal 4 2 2 4 7 2" xfId="4301" xr:uid="{00000000-0005-0000-0000-0000DB120000}"/>
    <cellStyle name="Normal 4 2 2 4 7 2 2" xfId="8524" xr:uid="{00000000-0005-0000-0000-0000DC120000}"/>
    <cellStyle name="Normal 4 2 2 4 7 3" xfId="6379" xr:uid="{00000000-0005-0000-0000-0000DD120000}"/>
    <cellStyle name="Normal 4 2 2 4 8" xfId="2508" xr:uid="{00000000-0005-0000-0000-0000DE120000}"/>
    <cellStyle name="Normal 4 2 2 4 8 2" xfId="6792" xr:uid="{00000000-0005-0000-0000-0000DF120000}"/>
    <cellStyle name="Normal 4 2 2 4 9" xfId="4727"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0" xr:uid="{00000000-0005-0000-0000-0000E5120000}"/>
    <cellStyle name="Normal 4 2 2 5 2 2 3" xfId="5145" xr:uid="{00000000-0005-0000-0000-0000E6120000}"/>
    <cellStyle name="Normal 4 2 2 5 2 3" xfId="1250" xr:uid="{00000000-0005-0000-0000-0000E7120000}"/>
    <cellStyle name="Normal 4 2 2 5 2 3 2" xfId="3480" xr:uid="{00000000-0005-0000-0000-0000E8120000}"/>
    <cellStyle name="Normal 4 2 2 5 2 3 2 2" xfId="7703" xr:uid="{00000000-0005-0000-0000-0000E9120000}"/>
    <cellStyle name="Normal 4 2 2 5 2 3 3" xfId="5558" xr:uid="{00000000-0005-0000-0000-0000EA120000}"/>
    <cellStyle name="Normal 4 2 2 5 2 4" xfId="1663" xr:uid="{00000000-0005-0000-0000-0000EB120000}"/>
    <cellStyle name="Normal 4 2 2 5 2 4 2" xfId="3893" xr:uid="{00000000-0005-0000-0000-0000EC120000}"/>
    <cellStyle name="Normal 4 2 2 5 2 4 2 2" xfId="8116" xr:uid="{00000000-0005-0000-0000-0000ED120000}"/>
    <cellStyle name="Normal 4 2 2 5 2 4 3" xfId="5971" xr:uid="{00000000-0005-0000-0000-0000EE120000}"/>
    <cellStyle name="Normal 4 2 2 5 2 5" xfId="2077" xr:uid="{00000000-0005-0000-0000-0000EF120000}"/>
    <cellStyle name="Normal 4 2 2 5 2 5 2" xfId="4306" xr:uid="{00000000-0005-0000-0000-0000F0120000}"/>
    <cellStyle name="Normal 4 2 2 5 2 5 2 2" xfId="8529" xr:uid="{00000000-0005-0000-0000-0000F1120000}"/>
    <cellStyle name="Normal 4 2 2 5 2 5 3" xfId="6384" xr:uid="{00000000-0005-0000-0000-0000F2120000}"/>
    <cellStyle name="Normal 4 2 2 5 2 6" xfId="2513" xr:uid="{00000000-0005-0000-0000-0000F3120000}"/>
    <cellStyle name="Normal 4 2 2 5 2 6 2" xfId="6797" xr:uid="{00000000-0005-0000-0000-0000F4120000}"/>
    <cellStyle name="Normal 4 2 2 5 2 7" xfId="4732" xr:uid="{00000000-0005-0000-0000-0000F5120000}"/>
    <cellStyle name="Normal 4 2 2 5 3" xfId="829" xr:uid="{00000000-0005-0000-0000-0000F6120000}"/>
    <cellStyle name="Normal 4 2 2 5 3 2" xfId="3066" xr:uid="{00000000-0005-0000-0000-0000F7120000}"/>
    <cellStyle name="Normal 4 2 2 5 3 2 2" xfId="7289" xr:uid="{00000000-0005-0000-0000-0000F8120000}"/>
    <cellStyle name="Normal 4 2 2 5 3 3" xfId="5144" xr:uid="{00000000-0005-0000-0000-0000F9120000}"/>
    <cellStyle name="Normal 4 2 2 5 4" xfId="1249" xr:uid="{00000000-0005-0000-0000-0000FA120000}"/>
    <cellStyle name="Normal 4 2 2 5 4 2" xfId="3479" xr:uid="{00000000-0005-0000-0000-0000FB120000}"/>
    <cellStyle name="Normal 4 2 2 5 4 2 2" xfId="7702" xr:uid="{00000000-0005-0000-0000-0000FC120000}"/>
    <cellStyle name="Normal 4 2 2 5 4 3" xfId="5557" xr:uid="{00000000-0005-0000-0000-0000FD120000}"/>
    <cellStyle name="Normal 4 2 2 5 5" xfId="1662" xr:uid="{00000000-0005-0000-0000-0000FE120000}"/>
    <cellStyle name="Normal 4 2 2 5 5 2" xfId="3892" xr:uid="{00000000-0005-0000-0000-0000FF120000}"/>
    <cellStyle name="Normal 4 2 2 5 5 2 2" xfId="8115" xr:uid="{00000000-0005-0000-0000-000000130000}"/>
    <cellStyle name="Normal 4 2 2 5 5 3" xfId="5970" xr:uid="{00000000-0005-0000-0000-000001130000}"/>
    <cellStyle name="Normal 4 2 2 5 6" xfId="2076" xr:uid="{00000000-0005-0000-0000-000002130000}"/>
    <cellStyle name="Normal 4 2 2 5 6 2" xfId="4305" xr:uid="{00000000-0005-0000-0000-000003130000}"/>
    <cellStyle name="Normal 4 2 2 5 6 2 2" xfId="8528" xr:uid="{00000000-0005-0000-0000-000004130000}"/>
    <cellStyle name="Normal 4 2 2 5 6 3" xfId="6383" xr:uid="{00000000-0005-0000-0000-000005130000}"/>
    <cellStyle name="Normal 4 2 2 5 7" xfId="2512" xr:uid="{00000000-0005-0000-0000-000006130000}"/>
    <cellStyle name="Normal 4 2 2 5 7 2" xfId="6796" xr:uid="{00000000-0005-0000-0000-000007130000}"/>
    <cellStyle name="Normal 4 2 2 5 8" xfId="4731"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1" xr:uid="{00000000-0005-0000-0000-00000C130000}"/>
    <cellStyle name="Normal 4 2 2 6 2 3" xfId="5146" xr:uid="{00000000-0005-0000-0000-00000D130000}"/>
    <cellStyle name="Normal 4 2 2 6 3" xfId="1251" xr:uid="{00000000-0005-0000-0000-00000E130000}"/>
    <cellStyle name="Normal 4 2 2 6 3 2" xfId="3481" xr:uid="{00000000-0005-0000-0000-00000F130000}"/>
    <cellStyle name="Normal 4 2 2 6 3 2 2" xfId="7704" xr:uid="{00000000-0005-0000-0000-000010130000}"/>
    <cellStyle name="Normal 4 2 2 6 3 3" xfId="5559" xr:uid="{00000000-0005-0000-0000-000011130000}"/>
    <cellStyle name="Normal 4 2 2 6 4" xfId="1664" xr:uid="{00000000-0005-0000-0000-000012130000}"/>
    <cellStyle name="Normal 4 2 2 6 4 2" xfId="3894" xr:uid="{00000000-0005-0000-0000-000013130000}"/>
    <cellStyle name="Normal 4 2 2 6 4 2 2" xfId="8117" xr:uid="{00000000-0005-0000-0000-000014130000}"/>
    <cellStyle name="Normal 4 2 2 6 4 3" xfId="5972" xr:uid="{00000000-0005-0000-0000-000015130000}"/>
    <cellStyle name="Normal 4 2 2 6 5" xfId="2078" xr:uid="{00000000-0005-0000-0000-000016130000}"/>
    <cellStyle name="Normal 4 2 2 6 5 2" xfId="4307" xr:uid="{00000000-0005-0000-0000-000017130000}"/>
    <cellStyle name="Normal 4 2 2 6 5 2 2" xfId="8530" xr:uid="{00000000-0005-0000-0000-000018130000}"/>
    <cellStyle name="Normal 4 2 2 6 5 3" xfId="6385" xr:uid="{00000000-0005-0000-0000-000019130000}"/>
    <cellStyle name="Normal 4 2 2 6 6" xfId="2514" xr:uid="{00000000-0005-0000-0000-00001A130000}"/>
    <cellStyle name="Normal 4 2 2 6 6 2" xfId="6798" xr:uid="{00000000-0005-0000-0000-00001B130000}"/>
    <cellStyle name="Normal 4 2 2 6 7" xfId="4733" xr:uid="{00000000-0005-0000-0000-00001C130000}"/>
    <cellStyle name="Normal 4 2 2 7" xfId="816" xr:uid="{00000000-0005-0000-0000-00001D130000}"/>
    <cellStyle name="Normal 4 2 2 7 2" xfId="3053" xr:uid="{00000000-0005-0000-0000-00001E130000}"/>
    <cellStyle name="Normal 4 2 2 7 2 2" xfId="7276" xr:uid="{00000000-0005-0000-0000-00001F130000}"/>
    <cellStyle name="Normal 4 2 2 7 3" xfId="5131" xr:uid="{00000000-0005-0000-0000-000020130000}"/>
    <cellStyle name="Normal 4 2 2 8" xfId="1236" xr:uid="{00000000-0005-0000-0000-000021130000}"/>
    <cellStyle name="Normal 4 2 2 8 2" xfId="3466" xr:uid="{00000000-0005-0000-0000-000022130000}"/>
    <cellStyle name="Normal 4 2 2 8 2 2" xfId="7689" xr:uid="{00000000-0005-0000-0000-000023130000}"/>
    <cellStyle name="Normal 4 2 2 8 3" xfId="5544" xr:uid="{00000000-0005-0000-0000-000024130000}"/>
    <cellStyle name="Normal 4 2 2 9" xfId="1649" xr:uid="{00000000-0005-0000-0000-000025130000}"/>
    <cellStyle name="Normal 4 2 2 9 2" xfId="3879" xr:uid="{00000000-0005-0000-0000-000026130000}"/>
    <cellStyle name="Normal 4 2 2 9 2 2" xfId="8102" xr:uid="{00000000-0005-0000-0000-000027130000}"/>
    <cellStyle name="Normal 4 2 2 9 3" xfId="5957" xr:uid="{00000000-0005-0000-0000-000028130000}"/>
    <cellStyle name="Normal 4 2 3" xfId="354" xr:uid="{00000000-0005-0000-0000-000029130000}"/>
    <cellStyle name="Normal 4 2 4" xfId="355" xr:uid="{00000000-0005-0000-0000-00002A130000}"/>
    <cellStyle name="Normal 4 2 4 10" xfId="4734"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5" xr:uid="{00000000-0005-0000-0000-000031130000}"/>
    <cellStyle name="Normal 4 2 4 2 2 2 2 3" xfId="5150" xr:uid="{00000000-0005-0000-0000-000032130000}"/>
    <cellStyle name="Normal 4 2 4 2 2 2 3" xfId="1255" xr:uid="{00000000-0005-0000-0000-000033130000}"/>
    <cellStyle name="Normal 4 2 4 2 2 2 3 2" xfId="3485" xr:uid="{00000000-0005-0000-0000-000034130000}"/>
    <cellStyle name="Normal 4 2 4 2 2 2 3 2 2" xfId="7708" xr:uid="{00000000-0005-0000-0000-000035130000}"/>
    <cellStyle name="Normal 4 2 4 2 2 2 3 3" xfId="5563" xr:uid="{00000000-0005-0000-0000-000036130000}"/>
    <cellStyle name="Normal 4 2 4 2 2 2 4" xfId="1668" xr:uid="{00000000-0005-0000-0000-000037130000}"/>
    <cellStyle name="Normal 4 2 4 2 2 2 4 2" xfId="3898" xr:uid="{00000000-0005-0000-0000-000038130000}"/>
    <cellStyle name="Normal 4 2 4 2 2 2 4 2 2" xfId="8121" xr:uid="{00000000-0005-0000-0000-000039130000}"/>
    <cellStyle name="Normal 4 2 4 2 2 2 4 3" xfId="5976" xr:uid="{00000000-0005-0000-0000-00003A130000}"/>
    <cellStyle name="Normal 4 2 4 2 2 2 5" xfId="2082" xr:uid="{00000000-0005-0000-0000-00003B130000}"/>
    <cellStyle name="Normal 4 2 4 2 2 2 5 2" xfId="4311" xr:uid="{00000000-0005-0000-0000-00003C130000}"/>
    <cellStyle name="Normal 4 2 4 2 2 2 5 2 2" xfId="8534" xr:uid="{00000000-0005-0000-0000-00003D130000}"/>
    <cellStyle name="Normal 4 2 4 2 2 2 5 3" xfId="6389" xr:uid="{00000000-0005-0000-0000-00003E130000}"/>
    <cellStyle name="Normal 4 2 4 2 2 2 6" xfId="2518" xr:uid="{00000000-0005-0000-0000-00003F130000}"/>
    <cellStyle name="Normal 4 2 4 2 2 2 6 2" xfId="6802" xr:uid="{00000000-0005-0000-0000-000040130000}"/>
    <cellStyle name="Normal 4 2 4 2 2 2 7" xfId="4737" xr:uid="{00000000-0005-0000-0000-000041130000}"/>
    <cellStyle name="Normal 4 2 4 2 2 3" xfId="834" xr:uid="{00000000-0005-0000-0000-000042130000}"/>
    <cellStyle name="Normal 4 2 4 2 2 3 2" xfId="3071" xr:uid="{00000000-0005-0000-0000-000043130000}"/>
    <cellStyle name="Normal 4 2 4 2 2 3 2 2" xfId="7294" xr:uid="{00000000-0005-0000-0000-000044130000}"/>
    <cellStyle name="Normal 4 2 4 2 2 3 3" xfId="5149" xr:uid="{00000000-0005-0000-0000-000045130000}"/>
    <cellStyle name="Normal 4 2 4 2 2 4" xfId="1254" xr:uid="{00000000-0005-0000-0000-000046130000}"/>
    <cellStyle name="Normal 4 2 4 2 2 4 2" xfId="3484" xr:uid="{00000000-0005-0000-0000-000047130000}"/>
    <cellStyle name="Normal 4 2 4 2 2 4 2 2" xfId="7707" xr:uid="{00000000-0005-0000-0000-000048130000}"/>
    <cellStyle name="Normal 4 2 4 2 2 4 3" xfId="5562" xr:uid="{00000000-0005-0000-0000-000049130000}"/>
    <cellStyle name="Normal 4 2 4 2 2 5" xfId="1667" xr:uid="{00000000-0005-0000-0000-00004A130000}"/>
    <cellStyle name="Normal 4 2 4 2 2 5 2" xfId="3897" xr:uid="{00000000-0005-0000-0000-00004B130000}"/>
    <cellStyle name="Normal 4 2 4 2 2 5 2 2" xfId="8120" xr:uid="{00000000-0005-0000-0000-00004C130000}"/>
    <cellStyle name="Normal 4 2 4 2 2 5 3" xfId="5975" xr:uid="{00000000-0005-0000-0000-00004D130000}"/>
    <cellStyle name="Normal 4 2 4 2 2 6" xfId="2081" xr:uid="{00000000-0005-0000-0000-00004E130000}"/>
    <cellStyle name="Normal 4 2 4 2 2 6 2" xfId="4310" xr:uid="{00000000-0005-0000-0000-00004F130000}"/>
    <cellStyle name="Normal 4 2 4 2 2 6 2 2" xfId="8533" xr:uid="{00000000-0005-0000-0000-000050130000}"/>
    <cellStyle name="Normal 4 2 4 2 2 6 3" xfId="6388" xr:uid="{00000000-0005-0000-0000-000051130000}"/>
    <cellStyle name="Normal 4 2 4 2 2 7" xfId="2517" xr:uid="{00000000-0005-0000-0000-000052130000}"/>
    <cellStyle name="Normal 4 2 4 2 2 7 2" xfId="6801" xr:uid="{00000000-0005-0000-0000-000053130000}"/>
    <cellStyle name="Normal 4 2 4 2 2 8" xfId="4736"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6" xr:uid="{00000000-0005-0000-0000-000058130000}"/>
    <cellStyle name="Normal 4 2 4 2 3 2 3" xfId="5151" xr:uid="{00000000-0005-0000-0000-000059130000}"/>
    <cellStyle name="Normal 4 2 4 2 3 3" xfId="1256" xr:uid="{00000000-0005-0000-0000-00005A130000}"/>
    <cellStyle name="Normal 4 2 4 2 3 3 2" xfId="3486" xr:uid="{00000000-0005-0000-0000-00005B130000}"/>
    <cellStyle name="Normal 4 2 4 2 3 3 2 2" xfId="7709" xr:uid="{00000000-0005-0000-0000-00005C130000}"/>
    <cellStyle name="Normal 4 2 4 2 3 3 3" xfId="5564" xr:uid="{00000000-0005-0000-0000-00005D130000}"/>
    <cellStyle name="Normal 4 2 4 2 3 4" xfId="1669" xr:uid="{00000000-0005-0000-0000-00005E130000}"/>
    <cellStyle name="Normal 4 2 4 2 3 4 2" xfId="3899" xr:uid="{00000000-0005-0000-0000-00005F130000}"/>
    <cellStyle name="Normal 4 2 4 2 3 4 2 2" xfId="8122" xr:uid="{00000000-0005-0000-0000-000060130000}"/>
    <cellStyle name="Normal 4 2 4 2 3 4 3" xfId="5977" xr:uid="{00000000-0005-0000-0000-000061130000}"/>
    <cellStyle name="Normal 4 2 4 2 3 5" xfId="2083" xr:uid="{00000000-0005-0000-0000-000062130000}"/>
    <cellStyle name="Normal 4 2 4 2 3 5 2" xfId="4312" xr:uid="{00000000-0005-0000-0000-000063130000}"/>
    <cellStyle name="Normal 4 2 4 2 3 5 2 2" xfId="8535" xr:uid="{00000000-0005-0000-0000-000064130000}"/>
    <cellStyle name="Normal 4 2 4 2 3 5 3" xfId="6390" xr:uid="{00000000-0005-0000-0000-000065130000}"/>
    <cellStyle name="Normal 4 2 4 2 3 6" xfId="2519" xr:uid="{00000000-0005-0000-0000-000066130000}"/>
    <cellStyle name="Normal 4 2 4 2 3 6 2" xfId="6803" xr:uid="{00000000-0005-0000-0000-000067130000}"/>
    <cellStyle name="Normal 4 2 4 2 3 7" xfId="4738" xr:uid="{00000000-0005-0000-0000-000068130000}"/>
    <cellStyle name="Normal 4 2 4 2 4" xfId="833" xr:uid="{00000000-0005-0000-0000-000069130000}"/>
    <cellStyle name="Normal 4 2 4 2 4 2" xfId="3070" xr:uid="{00000000-0005-0000-0000-00006A130000}"/>
    <cellStyle name="Normal 4 2 4 2 4 2 2" xfId="7293" xr:uid="{00000000-0005-0000-0000-00006B130000}"/>
    <cellStyle name="Normal 4 2 4 2 4 3" xfId="5148" xr:uid="{00000000-0005-0000-0000-00006C130000}"/>
    <cellStyle name="Normal 4 2 4 2 5" xfId="1253" xr:uid="{00000000-0005-0000-0000-00006D130000}"/>
    <cellStyle name="Normal 4 2 4 2 5 2" xfId="3483" xr:uid="{00000000-0005-0000-0000-00006E130000}"/>
    <cellStyle name="Normal 4 2 4 2 5 2 2" xfId="7706" xr:uid="{00000000-0005-0000-0000-00006F130000}"/>
    <cellStyle name="Normal 4 2 4 2 5 3" xfId="5561" xr:uid="{00000000-0005-0000-0000-000070130000}"/>
    <cellStyle name="Normal 4 2 4 2 6" xfId="1666" xr:uid="{00000000-0005-0000-0000-000071130000}"/>
    <cellStyle name="Normal 4 2 4 2 6 2" xfId="3896" xr:uid="{00000000-0005-0000-0000-000072130000}"/>
    <cellStyle name="Normal 4 2 4 2 6 2 2" xfId="8119" xr:uid="{00000000-0005-0000-0000-000073130000}"/>
    <cellStyle name="Normal 4 2 4 2 6 3" xfId="5974" xr:uid="{00000000-0005-0000-0000-000074130000}"/>
    <cellStyle name="Normal 4 2 4 2 7" xfId="2080" xr:uid="{00000000-0005-0000-0000-000075130000}"/>
    <cellStyle name="Normal 4 2 4 2 7 2" xfId="4309" xr:uid="{00000000-0005-0000-0000-000076130000}"/>
    <cellStyle name="Normal 4 2 4 2 7 2 2" xfId="8532" xr:uid="{00000000-0005-0000-0000-000077130000}"/>
    <cellStyle name="Normal 4 2 4 2 7 3" xfId="6387" xr:uid="{00000000-0005-0000-0000-000078130000}"/>
    <cellStyle name="Normal 4 2 4 2 8" xfId="2516" xr:uid="{00000000-0005-0000-0000-000079130000}"/>
    <cellStyle name="Normal 4 2 4 2 8 2" xfId="6800" xr:uid="{00000000-0005-0000-0000-00007A130000}"/>
    <cellStyle name="Normal 4 2 4 2 9" xfId="4735"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8" xr:uid="{00000000-0005-0000-0000-000080130000}"/>
    <cellStyle name="Normal 4 2 4 3 2 2 3" xfId="5153" xr:uid="{00000000-0005-0000-0000-000081130000}"/>
    <cellStyle name="Normal 4 2 4 3 2 3" xfId="1258" xr:uid="{00000000-0005-0000-0000-000082130000}"/>
    <cellStyle name="Normal 4 2 4 3 2 3 2" xfId="3488" xr:uid="{00000000-0005-0000-0000-000083130000}"/>
    <cellStyle name="Normal 4 2 4 3 2 3 2 2" xfId="7711" xr:uid="{00000000-0005-0000-0000-000084130000}"/>
    <cellStyle name="Normal 4 2 4 3 2 3 3" xfId="5566" xr:uid="{00000000-0005-0000-0000-000085130000}"/>
    <cellStyle name="Normal 4 2 4 3 2 4" xfId="1671" xr:uid="{00000000-0005-0000-0000-000086130000}"/>
    <cellStyle name="Normal 4 2 4 3 2 4 2" xfId="3901" xr:uid="{00000000-0005-0000-0000-000087130000}"/>
    <cellStyle name="Normal 4 2 4 3 2 4 2 2" xfId="8124" xr:uid="{00000000-0005-0000-0000-000088130000}"/>
    <cellStyle name="Normal 4 2 4 3 2 4 3" xfId="5979" xr:uid="{00000000-0005-0000-0000-000089130000}"/>
    <cellStyle name="Normal 4 2 4 3 2 5" xfId="2085" xr:uid="{00000000-0005-0000-0000-00008A130000}"/>
    <cellStyle name="Normal 4 2 4 3 2 5 2" xfId="4314" xr:uid="{00000000-0005-0000-0000-00008B130000}"/>
    <cellStyle name="Normal 4 2 4 3 2 5 2 2" xfId="8537" xr:uid="{00000000-0005-0000-0000-00008C130000}"/>
    <cellStyle name="Normal 4 2 4 3 2 5 3" xfId="6392" xr:uid="{00000000-0005-0000-0000-00008D130000}"/>
    <cellStyle name="Normal 4 2 4 3 2 6" xfId="2521" xr:uid="{00000000-0005-0000-0000-00008E130000}"/>
    <cellStyle name="Normal 4 2 4 3 2 6 2" xfId="6805" xr:uid="{00000000-0005-0000-0000-00008F130000}"/>
    <cellStyle name="Normal 4 2 4 3 2 7" xfId="4740" xr:uid="{00000000-0005-0000-0000-000090130000}"/>
    <cellStyle name="Normal 4 2 4 3 3" xfId="837" xr:uid="{00000000-0005-0000-0000-000091130000}"/>
    <cellStyle name="Normal 4 2 4 3 3 2" xfId="3074" xr:uid="{00000000-0005-0000-0000-000092130000}"/>
    <cellStyle name="Normal 4 2 4 3 3 2 2" xfId="7297" xr:uid="{00000000-0005-0000-0000-000093130000}"/>
    <cellStyle name="Normal 4 2 4 3 3 3" xfId="5152" xr:uid="{00000000-0005-0000-0000-000094130000}"/>
    <cellStyle name="Normal 4 2 4 3 4" xfId="1257" xr:uid="{00000000-0005-0000-0000-000095130000}"/>
    <cellStyle name="Normal 4 2 4 3 4 2" xfId="3487" xr:uid="{00000000-0005-0000-0000-000096130000}"/>
    <cellStyle name="Normal 4 2 4 3 4 2 2" xfId="7710" xr:uid="{00000000-0005-0000-0000-000097130000}"/>
    <cellStyle name="Normal 4 2 4 3 4 3" xfId="5565" xr:uid="{00000000-0005-0000-0000-000098130000}"/>
    <cellStyle name="Normal 4 2 4 3 5" xfId="1670" xr:uid="{00000000-0005-0000-0000-000099130000}"/>
    <cellStyle name="Normal 4 2 4 3 5 2" xfId="3900" xr:uid="{00000000-0005-0000-0000-00009A130000}"/>
    <cellStyle name="Normal 4 2 4 3 5 2 2" xfId="8123" xr:uid="{00000000-0005-0000-0000-00009B130000}"/>
    <cellStyle name="Normal 4 2 4 3 5 3" xfId="5978" xr:uid="{00000000-0005-0000-0000-00009C130000}"/>
    <cellStyle name="Normal 4 2 4 3 6" xfId="2084" xr:uid="{00000000-0005-0000-0000-00009D130000}"/>
    <cellStyle name="Normal 4 2 4 3 6 2" xfId="4313" xr:uid="{00000000-0005-0000-0000-00009E130000}"/>
    <cellStyle name="Normal 4 2 4 3 6 2 2" xfId="8536" xr:uid="{00000000-0005-0000-0000-00009F130000}"/>
    <cellStyle name="Normal 4 2 4 3 6 3" xfId="6391" xr:uid="{00000000-0005-0000-0000-0000A0130000}"/>
    <cellStyle name="Normal 4 2 4 3 7" xfId="2520" xr:uid="{00000000-0005-0000-0000-0000A1130000}"/>
    <cellStyle name="Normal 4 2 4 3 7 2" xfId="6804" xr:uid="{00000000-0005-0000-0000-0000A2130000}"/>
    <cellStyle name="Normal 4 2 4 3 8" xfId="4739"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299" xr:uid="{00000000-0005-0000-0000-0000A7130000}"/>
    <cellStyle name="Normal 4 2 4 4 2 3" xfId="5154" xr:uid="{00000000-0005-0000-0000-0000A8130000}"/>
    <cellStyle name="Normal 4 2 4 4 3" xfId="1259" xr:uid="{00000000-0005-0000-0000-0000A9130000}"/>
    <cellStyle name="Normal 4 2 4 4 3 2" xfId="3489" xr:uid="{00000000-0005-0000-0000-0000AA130000}"/>
    <cellStyle name="Normal 4 2 4 4 3 2 2" xfId="7712" xr:uid="{00000000-0005-0000-0000-0000AB130000}"/>
    <cellStyle name="Normal 4 2 4 4 3 3" xfId="5567" xr:uid="{00000000-0005-0000-0000-0000AC130000}"/>
    <cellStyle name="Normal 4 2 4 4 4" xfId="1672" xr:uid="{00000000-0005-0000-0000-0000AD130000}"/>
    <cellStyle name="Normal 4 2 4 4 4 2" xfId="3902" xr:uid="{00000000-0005-0000-0000-0000AE130000}"/>
    <cellStyle name="Normal 4 2 4 4 4 2 2" xfId="8125" xr:uid="{00000000-0005-0000-0000-0000AF130000}"/>
    <cellStyle name="Normal 4 2 4 4 4 3" xfId="5980" xr:uid="{00000000-0005-0000-0000-0000B0130000}"/>
    <cellStyle name="Normal 4 2 4 4 5" xfId="2086" xr:uid="{00000000-0005-0000-0000-0000B1130000}"/>
    <cellStyle name="Normal 4 2 4 4 5 2" xfId="4315" xr:uid="{00000000-0005-0000-0000-0000B2130000}"/>
    <cellStyle name="Normal 4 2 4 4 5 2 2" xfId="8538" xr:uid="{00000000-0005-0000-0000-0000B3130000}"/>
    <cellStyle name="Normal 4 2 4 4 5 3" xfId="6393" xr:uid="{00000000-0005-0000-0000-0000B4130000}"/>
    <cellStyle name="Normal 4 2 4 4 6" xfId="2522" xr:uid="{00000000-0005-0000-0000-0000B5130000}"/>
    <cellStyle name="Normal 4 2 4 4 6 2" xfId="6806" xr:uid="{00000000-0005-0000-0000-0000B6130000}"/>
    <cellStyle name="Normal 4 2 4 4 7" xfId="4741" xr:uid="{00000000-0005-0000-0000-0000B7130000}"/>
    <cellStyle name="Normal 4 2 4 5" xfId="832" xr:uid="{00000000-0005-0000-0000-0000B8130000}"/>
    <cellStyle name="Normal 4 2 4 5 2" xfId="3069" xr:uid="{00000000-0005-0000-0000-0000B9130000}"/>
    <cellStyle name="Normal 4 2 4 5 2 2" xfId="7292" xr:uid="{00000000-0005-0000-0000-0000BA130000}"/>
    <cellStyle name="Normal 4 2 4 5 3" xfId="5147" xr:uid="{00000000-0005-0000-0000-0000BB130000}"/>
    <cellStyle name="Normal 4 2 4 6" xfId="1252" xr:uid="{00000000-0005-0000-0000-0000BC130000}"/>
    <cellStyle name="Normal 4 2 4 6 2" xfId="3482" xr:uid="{00000000-0005-0000-0000-0000BD130000}"/>
    <cellStyle name="Normal 4 2 4 6 2 2" xfId="7705" xr:uid="{00000000-0005-0000-0000-0000BE130000}"/>
    <cellStyle name="Normal 4 2 4 6 3" xfId="5560" xr:uid="{00000000-0005-0000-0000-0000BF130000}"/>
    <cellStyle name="Normal 4 2 4 7" xfId="1665" xr:uid="{00000000-0005-0000-0000-0000C0130000}"/>
    <cellStyle name="Normal 4 2 4 7 2" xfId="3895" xr:uid="{00000000-0005-0000-0000-0000C1130000}"/>
    <cellStyle name="Normal 4 2 4 7 2 2" xfId="8118" xr:uid="{00000000-0005-0000-0000-0000C2130000}"/>
    <cellStyle name="Normal 4 2 4 7 3" xfId="5973" xr:uid="{00000000-0005-0000-0000-0000C3130000}"/>
    <cellStyle name="Normal 4 2 4 8" xfId="2079" xr:uid="{00000000-0005-0000-0000-0000C4130000}"/>
    <cellStyle name="Normal 4 2 4 8 2" xfId="4308" xr:uid="{00000000-0005-0000-0000-0000C5130000}"/>
    <cellStyle name="Normal 4 2 4 8 2 2" xfId="8531" xr:uid="{00000000-0005-0000-0000-0000C6130000}"/>
    <cellStyle name="Normal 4 2 4 8 3" xfId="6386" xr:uid="{00000000-0005-0000-0000-0000C7130000}"/>
    <cellStyle name="Normal 4 2 4 9" xfId="2515" xr:uid="{00000000-0005-0000-0000-0000C8130000}"/>
    <cellStyle name="Normal 4 2 4 9 2" xfId="6799"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1" xr:uid="{00000000-0005-0000-0000-0000CE130000}"/>
    <cellStyle name="Normal 4 2 5 2 2 3" xfId="5156" xr:uid="{00000000-0005-0000-0000-0000CF130000}"/>
    <cellStyle name="Normal 4 2 5 2 3" xfId="1261" xr:uid="{00000000-0005-0000-0000-0000D0130000}"/>
    <cellStyle name="Normal 4 2 5 2 3 2" xfId="3491" xr:uid="{00000000-0005-0000-0000-0000D1130000}"/>
    <cellStyle name="Normal 4 2 5 2 3 2 2" xfId="7714" xr:uid="{00000000-0005-0000-0000-0000D2130000}"/>
    <cellStyle name="Normal 4 2 5 2 3 3" xfId="5569" xr:uid="{00000000-0005-0000-0000-0000D3130000}"/>
    <cellStyle name="Normal 4 2 5 2 4" xfId="1674" xr:uid="{00000000-0005-0000-0000-0000D4130000}"/>
    <cellStyle name="Normal 4 2 5 2 4 2" xfId="3904" xr:uid="{00000000-0005-0000-0000-0000D5130000}"/>
    <cellStyle name="Normal 4 2 5 2 4 2 2" xfId="8127" xr:uid="{00000000-0005-0000-0000-0000D6130000}"/>
    <cellStyle name="Normal 4 2 5 2 4 3" xfId="5982" xr:uid="{00000000-0005-0000-0000-0000D7130000}"/>
    <cellStyle name="Normal 4 2 5 2 5" xfId="2088" xr:uid="{00000000-0005-0000-0000-0000D8130000}"/>
    <cellStyle name="Normal 4 2 5 2 5 2" xfId="4317" xr:uid="{00000000-0005-0000-0000-0000D9130000}"/>
    <cellStyle name="Normal 4 2 5 2 5 2 2" xfId="8540" xr:uid="{00000000-0005-0000-0000-0000DA130000}"/>
    <cellStyle name="Normal 4 2 5 2 5 3" xfId="6395" xr:uid="{00000000-0005-0000-0000-0000DB130000}"/>
    <cellStyle name="Normal 4 2 5 2 6" xfId="2524" xr:uid="{00000000-0005-0000-0000-0000DC130000}"/>
    <cellStyle name="Normal 4 2 5 2 6 2" xfId="6808" xr:uid="{00000000-0005-0000-0000-0000DD130000}"/>
    <cellStyle name="Normal 4 2 5 2 7" xfId="4743" xr:uid="{00000000-0005-0000-0000-0000DE130000}"/>
    <cellStyle name="Normal 4 2 5 3" xfId="840" xr:uid="{00000000-0005-0000-0000-0000DF130000}"/>
    <cellStyle name="Normal 4 2 5 3 2" xfId="3077" xr:uid="{00000000-0005-0000-0000-0000E0130000}"/>
    <cellStyle name="Normal 4 2 5 3 2 2" xfId="7300" xr:uid="{00000000-0005-0000-0000-0000E1130000}"/>
    <cellStyle name="Normal 4 2 5 3 3" xfId="5155" xr:uid="{00000000-0005-0000-0000-0000E2130000}"/>
    <cellStyle name="Normal 4 2 5 4" xfId="1260" xr:uid="{00000000-0005-0000-0000-0000E3130000}"/>
    <cellStyle name="Normal 4 2 5 4 2" xfId="3490" xr:uid="{00000000-0005-0000-0000-0000E4130000}"/>
    <cellStyle name="Normal 4 2 5 4 2 2" xfId="7713" xr:uid="{00000000-0005-0000-0000-0000E5130000}"/>
    <cellStyle name="Normal 4 2 5 4 3" xfId="5568" xr:uid="{00000000-0005-0000-0000-0000E6130000}"/>
    <cellStyle name="Normal 4 2 5 5" xfId="1673" xr:uid="{00000000-0005-0000-0000-0000E7130000}"/>
    <cellStyle name="Normal 4 2 5 5 2" xfId="3903" xr:uid="{00000000-0005-0000-0000-0000E8130000}"/>
    <cellStyle name="Normal 4 2 5 5 2 2" xfId="8126" xr:uid="{00000000-0005-0000-0000-0000E9130000}"/>
    <cellStyle name="Normal 4 2 5 5 3" xfId="5981" xr:uid="{00000000-0005-0000-0000-0000EA130000}"/>
    <cellStyle name="Normal 4 2 5 6" xfId="2087" xr:uid="{00000000-0005-0000-0000-0000EB130000}"/>
    <cellStyle name="Normal 4 2 5 6 2" xfId="4316" xr:uid="{00000000-0005-0000-0000-0000EC130000}"/>
    <cellStyle name="Normal 4 2 5 6 2 2" xfId="8539" xr:uid="{00000000-0005-0000-0000-0000ED130000}"/>
    <cellStyle name="Normal 4 2 5 6 3" xfId="6394" xr:uid="{00000000-0005-0000-0000-0000EE130000}"/>
    <cellStyle name="Normal 4 2 5 7" xfId="2523" xr:uid="{00000000-0005-0000-0000-0000EF130000}"/>
    <cellStyle name="Normal 4 2 5 7 2" xfId="6807" xr:uid="{00000000-0005-0000-0000-0000F0130000}"/>
    <cellStyle name="Normal 4 2 5 8" xfId="4742"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2" xr:uid="{00000000-0005-0000-0000-0000F5130000}"/>
    <cellStyle name="Normal 4 2 6 2 3" xfId="5157" xr:uid="{00000000-0005-0000-0000-0000F6130000}"/>
    <cellStyle name="Normal 4 2 6 3" xfId="1262" xr:uid="{00000000-0005-0000-0000-0000F7130000}"/>
    <cellStyle name="Normal 4 2 6 3 2" xfId="3492" xr:uid="{00000000-0005-0000-0000-0000F8130000}"/>
    <cellStyle name="Normal 4 2 6 3 2 2" xfId="7715" xr:uid="{00000000-0005-0000-0000-0000F9130000}"/>
    <cellStyle name="Normal 4 2 6 3 3" xfId="5570" xr:uid="{00000000-0005-0000-0000-0000FA130000}"/>
    <cellStyle name="Normal 4 2 6 4" xfId="1675" xr:uid="{00000000-0005-0000-0000-0000FB130000}"/>
    <cellStyle name="Normal 4 2 6 4 2" xfId="3905" xr:uid="{00000000-0005-0000-0000-0000FC130000}"/>
    <cellStyle name="Normal 4 2 6 4 2 2" xfId="8128" xr:uid="{00000000-0005-0000-0000-0000FD130000}"/>
    <cellStyle name="Normal 4 2 6 4 3" xfId="5983" xr:uid="{00000000-0005-0000-0000-0000FE130000}"/>
    <cellStyle name="Normal 4 2 6 5" xfId="2089" xr:uid="{00000000-0005-0000-0000-0000FF130000}"/>
    <cellStyle name="Normal 4 2 6 5 2" xfId="4318" xr:uid="{00000000-0005-0000-0000-000000140000}"/>
    <cellStyle name="Normal 4 2 6 5 2 2" xfId="8541" xr:uid="{00000000-0005-0000-0000-000001140000}"/>
    <cellStyle name="Normal 4 2 6 5 3" xfId="6396" xr:uid="{00000000-0005-0000-0000-000002140000}"/>
    <cellStyle name="Normal 4 2 6 6" xfId="2525" xr:uid="{00000000-0005-0000-0000-000003140000}"/>
    <cellStyle name="Normal 4 2 6 6 2" xfId="6809" xr:uid="{00000000-0005-0000-0000-000004140000}"/>
    <cellStyle name="Normal 4 2 6 7" xfId="4744"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6" xr:uid="{00000000-0005-0000-0000-00000E140000}"/>
    <cellStyle name="Normal 4 3 2 2 2 2 2 2 3" xfId="5161" xr:uid="{00000000-0005-0000-0000-00000F140000}"/>
    <cellStyle name="Normal 4 3 2 2 2 2 2 3" xfId="1266" xr:uid="{00000000-0005-0000-0000-000010140000}"/>
    <cellStyle name="Normal 4 3 2 2 2 2 2 3 2" xfId="3496" xr:uid="{00000000-0005-0000-0000-000011140000}"/>
    <cellStyle name="Normal 4 3 2 2 2 2 2 3 2 2" xfId="7719" xr:uid="{00000000-0005-0000-0000-000012140000}"/>
    <cellStyle name="Normal 4 3 2 2 2 2 2 3 3" xfId="5574" xr:uid="{00000000-0005-0000-0000-000013140000}"/>
    <cellStyle name="Normal 4 3 2 2 2 2 2 4" xfId="1679" xr:uid="{00000000-0005-0000-0000-000014140000}"/>
    <cellStyle name="Normal 4 3 2 2 2 2 2 4 2" xfId="3909" xr:uid="{00000000-0005-0000-0000-000015140000}"/>
    <cellStyle name="Normal 4 3 2 2 2 2 2 4 2 2" xfId="8132" xr:uid="{00000000-0005-0000-0000-000016140000}"/>
    <cellStyle name="Normal 4 3 2 2 2 2 2 4 3" xfId="5987" xr:uid="{00000000-0005-0000-0000-000017140000}"/>
    <cellStyle name="Normal 4 3 2 2 2 2 2 5" xfId="2093" xr:uid="{00000000-0005-0000-0000-000018140000}"/>
    <cellStyle name="Normal 4 3 2 2 2 2 2 5 2" xfId="4322" xr:uid="{00000000-0005-0000-0000-000019140000}"/>
    <cellStyle name="Normal 4 3 2 2 2 2 2 5 2 2" xfId="8545" xr:uid="{00000000-0005-0000-0000-00001A140000}"/>
    <cellStyle name="Normal 4 3 2 2 2 2 2 5 3" xfId="6400" xr:uid="{00000000-0005-0000-0000-00001B140000}"/>
    <cellStyle name="Normal 4 3 2 2 2 2 2 6" xfId="2529" xr:uid="{00000000-0005-0000-0000-00001C140000}"/>
    <cellStyle name="Normal 4 3 2 2 2 2 2 6 2" xfId="6813" xr:uid="{00000000-0005-0000-0000-00001D140000}"/>
    <cellStyle name="Normal 4 3 2 2 2 2 2 7" xfId="4748" xr:uid="{00000000-0005-0000-0000-00001E140000}"/>
    <cellStyle name="Normal 4 3 2 2 2 2 3" xfId="846" xr:uid="{00000000-0005-0000-0000-00001F140000}"/>
    <cellStyle name="Normal 4 3 2 2 2 2 3 2" xfId="3082" xr:uid="{00000000-0005-0000-0000-000020140000}"/>
    <cellStyle name="Normal 4 3 2 2 2 2 3 2 2" xfId="7305" xr:uid="{00000000-0005-0000-0000-000021140000}"/>
    <cellStyle name="Normal 4 3 2 2 2 2 3 3" xfId="5160" xr:uid="{00000000-0005-0000-0000-000022140000}"/>
    <cellStyle name="Normal 4 3 2 2 2 2 4" xfId="1265" xr:uid="{00000000-0005-0000-0000-000023140000}"/>
    <cellStyle name="Normal 4 3 2 2 2 2 4 2" xfId="3495" xr:uid="{00000000-0005-0000-0000-000024140000}"/>
    <cellStyle name="Normal 4 3 2 2 2 2 4 2 2" xfId="7718" xr:uid="{00000000-0005-0000-0000-000025140000}"/>
    <cellStyle name="Normal 4 3 2 2 2 2 4 3" xfId="5573" xr:uid="{00000000-0005-0000-0000-000026140000}"/>
    <cellStyle name="Normal 4 3 2 2 2 2 5" xfId="1678" xr:uid="{00000000-0005-0000-0000-000027140000}"/>
    <cellStyle name="Normal 4 3 2 2 2 2 5 2" xfId="3908" xr:uid="{00000000-0005-0000-0000-000028140000}"/>
    <cellStyle name="Normal 4 3 2 2 2 2 5 2 2" xfId="8131" xr:uid="{00000000-0005-0000-0000-000029140000}"/>
    <cellStyle name="Normal 4 3 2 2 2 2 5 3" xfId="5986" xr:uid="{00000000-0005-0000-0000-00002A140000}"/>
    <cellStyle name="Normal 4 3 2 2 2 2 6" xfId="2092" xr:uid="{00000000-0005-0000-0000-00002B140000}"/>
    <cellStyle name="Normal 4 3 2 2 2 2 6 2" xfId="4321" xr:uid="{00000000-0005-0000-0000-00002C140000}"/>
    <cellStyle name="Normal 4 3 2 2 2 2 6 2 2" xfId="8544" xr:uid="{00000000-0005-0000-0000-00002D140000}"/>
    <cellStyle name="Normal 4 3 2 2 2 2 6 3" xfId="6399" xr:uid="{00000000-0005-0000-0000-00002E140000}"/>
    <cellStyle name="Normal 4 3 2 2 2 2 7" xfId="2528" xr:uid="{00000000-0005-0000-0000-00002F140000}"/>
    <cellStyle name="Normal 4 3 2 2 2 2 7 2" xfId="6812" xr:uid="{00000000-0005-0000-0000-000030140000}"/>
    <cellStyle name="Normal 4 3 2 2 2 2 8" xfId="4747"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7" xr:uid="{00000000-0005-0000-0000-000035140000}"/>
    <cellStyle name="Normal 4 3 2 2 2 3 2 3" xfId="5162" xr:uid="{00000000-0005-0000-0000-000036140000}"/>
    <cellStyle name="Normal 4 3 2 2 2 3 3" xfId="1267" xr:uid="{00000000-0005-0000-0000-000037140000}"/>
    <cellStyle name="Normal 4 3 2 2 2 3 3 2" xfId="3497" xr:uid="{00000000-0005-0000-0000-000038140000}"/>
    <cellStyle name="Normal 4 3 2 2 2 3 3 2 2" xfId="7720" xr:uid="{00000000-0005-0000-0000-000039140000}"/>
    <cellStyle name="Normal 4 3 2 2 2 3 3 3" xfId="5575" xr:uid="{00000000-0005-0000-0000-00003A140000}"/>
    <cellStyle name="Normal 4 3 2 2 2 3 4" xfId="1680" xr:uid="{00000000-0005-0000-0000-00003B140000}"/>
    <cellStyle name="Normal 4 3 2 2 2 3 4 2" xfId="3910" xr:uid="{00000000-0005-0000-0000-00003C140000}"/>
    <cellStyle name="Normal 4 3 2 2 2 3 4 2 2" xfId="8133" xr:uid="{00000000-0005-0000-0000-00003D140000}"/>
    <cellStyle name="Normal 4 3 2 2 2 3 4 3" xfId="5988" xr:uid="{00000000-0005-0000-0000-00003E140000}"/>
    <cellStyle name="Normal 4 3 2 2 2 3 5" xfId="2094" xr:uid="{00000000-0005-0000-0000-00003F140000}"/>
    <cellStyle name="Normal 4 3 2 2 2 3 5 2" xfId="4323" xr:uid="{00000000-0005-0000-0000-000040140000}"/>
    <cellStyle name="Normal 4 3 2 2 2 3 5 2 2" xfId="8546" xr:uid="{00000000-0005-0000-0000-000041140000}"/>
    <cellStyle name="Normal 4 3 2 2 2 3 5 3" xfId="6401" xr:uid="{00000000-0005-0000-0000-000042140000}"/>
    <cellStyle name="Normal 4 3 2 2 2 3 6" xfId="2530" xr:uid="{00000000-0005-0000-0000-000043140000}"/>
    <cellStyle name="Normal 4 3 2 2 2 3 6 2" xfId="6814" xr:uid="{00000000-0005-0000-0000-000044140000}"/>
    <cellStyle name="Normal 4 3 2 2 2 3 7" xfId="4749" xr:uid="{00000000-0005-0000-0000-000045140000}"/>
    <cellStyle name="Normal 4 3 2 2 2 4" xfId="845" xr:uid="{00000000-0005-0000-0000-000046140000}"/>
    <cellStyle name="Normal 4 3 2 2 2 4 2" xfId="3081" xr:uid="{00000000-0005-0000-0000-000047140000}"/>
    <cellStyle name="Normal 4 3 2 2 2 4 2 2" xfId="7304" xr:uid="{00000000-0005-0000-0000-000048140000}"/>
    <cellStyle name="Normal 4 3 2 2 2 4 3" xfId="5159" xr:uid="{00000000-0005-0000-0000-000049140000}"/>
    <cellStyle name="Normal 4 3 2 2 2 5" xfId="1264" xr:uid="{00000000-0005-0000-0000-00004A140000}"/>
    <cellStyle name="Normal 4 3 2 2 2 5 2" xfId="3494" xr:uid="{00000000-0005-0000-0000-00004B140000}"/>
    <cellStyle name="Normal 4 3 2 2 2 5 2 2" xfId="7717" xr:uid="{00000000-0005-0000-0000-00004C140000}"/>
    <cellStyle name="Normal 4 3 2 2 2 5 3" xfId="5572" xr:uid="{00000000-0005-0000-0000-00004D140000}"/>
    <cellStyle name="Normal 4 3 2 2 2 6" xfId="1677" xr:uid="{00000000-0005-0000-0000-00004E140000}"/>
    <cellStyle name="Normal 4 3 2 2 2 6 2" xfId="3907" xr:uid="{00000000-0005-0000-0000-00004F140000}"/>
    <cellStyle name="Normal 4 3 2 2 2 6 2 2" xfId="8130" xr:uid="{00000000-0005-0000-0000-000050140000}"/>
    <cellStyle name="Normal 4 3 2 2 2 6 3" xfId="5985" xr:uid="{00000000-0005-0000-0000-000051140000}"/>
    <cellStyle name="Normal 4 3 2 2 2 7" xfId="2091" xr:uid="{00000000-0005-0000-0000-000052140000}"/>
    <cellStyle name="Normal 4 3 2 2 2 7 2" xfId="4320" xr:uid="{00000000-0005-0000-0000-000053140000}"/>
    <cellStyle name="Normal 4 3 2 2 2 7 2 2" xfId="8543" xr:uid="{00000000-0005-0000-0000-000054140000}"/>
    <cellStyle name="Normal 4 3 2 2 2 7 3" xfId="6398" xr:uid="{00000000-0005-0000-0000-000055140000}"/>
    <cellStyle name="Normal 4 3 2 2 2 8" xfId="2527" xr:uid="{00000000-0005-0000-0000-000056140000}"/>
    <cellStyle name="Normal 4 3 2 2 2 8 2" xfId="6811" xr:uid="{00000000-0005-0000-0000-000057140000}"/>
    <cellStyle name="Normal 4 3 2 2 2 9" xfId="4746"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0" xr:uid="{00000000-0005-0000-0000-000061140000}"/>
    <cellStyle name="Normal 4 3 3 2 2 2 3" xfId="5165" xr:uid="{00000000-0005-0000-0000-000062140000}"/>
    <cellStyle name="Normal 4 3 3 2 2 3" xfId="1270" xr:uid="{00000000-0005-0000-0000-000063140000}"/>
    <cellStyle name="Normal 4 3 3 2 2 3 2" xfId="3500" xr:uid="{00000000-0005-0000-0000-000064140000}"/>
    <cellStyle name="Normal 4 3 3 2 2 3 2 2" xfId="7723" xr:uid="{00000000-0005-0000-0000-000065140000}"/>
    <cellStyle name="Normal 4 3 3 2 2 3 3" xfId="5578" xr:uid="{00000000-0005-0000-0000-000066140000}"/>
    <cellStyle name="Normal 4 3 3 2 2 4" xfId="1683" xr:uid="{00000000-0005-0000-0000-000067140000}"/>
    <cellStyle name="Normal 4 3 3 2 2 4 2" xfId="3913" xr:uid="{00000000-0005-0000-0000-000068140000}"/>
    <cellStyle name="Normal 4 3 3 2 2 4 2 2" xfId="8136" xr:uid="{00000000-0005-0000-0000-000069140000}"/>
    <cellStyle name="Normal 4 3 3 2 2 4 3" xfId="5991" xr:uid="{00000000-0005-0000-0000-00006A140000}"/>
    <cellStyle name="Normal 4 3 3 2 2 5" xfId="2097" xr:uid="{00000000-0005-0000-0000-00006B140000}"/>
    <cellStyle name="Normal 4 3 3 2 2 5 2" xfId="4326" xr:uid="{00000000-0005-0000-0000-00006C140000}"/>
    <cellStyle name="Normal 4 3 3 2 2 5 2 2" xfId="8549" xr:uid="{00000000-0005-0000-0000-00006D140000}"/>
    <cellStyle name="Normal 4 3 3 2 2 5 3" xfId="6404" xr:uid="{00000000-0005-0000-0000-00006E140000}"/>
    <cellStyle name="Normal 4 3 3 2 2 6" xfId="2533" xr:uid="{00000000-0005-0000-0000-00006F140000}"/>
    <cellStyle name="Normal 4 3 3 2 2 6 2" xfId="6817" xr:uid="{00000000-0005-0000-0000-000070140000}"/>
    <cellStyle name="Normal 4 3 3 2 2 7" xfId="4752" xr:uid="{00000000-0005-0000-0000-000071140000}"/>
    <cellStyle name="Normal 4 3 3 2 3" xfId="851" xr:uid="{00000000-0005-0000-0000-000072140000}"/>
    <cellStyle name="Normal 4 3 3 2 3 2" xfId="3086" xr:uid="{00000000-0005-0000-0000-000073140000}"/>
    <cellStyle name="Normal 4 3 3 2 3 2 2" xfId="7309" xr:uid="{00000000-0005-0000-0000-000074140000}"/>
    <cellStyle name="Normal 4 3 3 2 3 3" xfId="5164" xr:uid="{00000000-0005-0000-0000-000075140000}"/>
    <cellStyle name="Normal 4 3 3 2 4" xfId="1269" xr:uid="{00000000-0005-0000-0000-000076140000}"/>
    <cellStyle name="Normal 4 3 3 2 4 2" xfId="3499" xr:uid="{00000000-0005-0000-0000-000077140000}"/>
    <cellStyle name="Normal 4 3 3 2 4 2 2" xfId="7722" xr:uid="{00000000-0005-0000-0000-000078140000}"/>
    <cellStyle name="Normal 4 3 3 2 4 3" xfId="5577" xr:uid="{00000000-0005-0000-0000-000079140000}"/>
    <cellStyle name="Normal 4 3 3 2 5" xfId="1682" xr:uid="{00000000-0005-0000-0000-00007A140000}"/>
    <cellStyle name="Normal 4 3 3 2 5 2" xfId="3912" xr:uid="{00000000-0005-0000-0000-00007B140000}"/>
    <cellStyle name="Normal 4 3 3 2 5 2 2" xfId="8135" xr:uid="{00000000-0005-0000-0000-00007C140000}"/>
    <cellStyle name="Normal 4 3 3 2 5 3" xfId="5990" xr:uid="{00000000-0005-0000-0000-00007D140000}"/>
    <cellStyle name="Normal 4 3 3 2 6" xfId="2096" xr:uid="{00000000-0005-0000-0000-00007E140000}"/>
    <cellStyle name="Normal 4 3 3 2 6 2" xfId="4325" xr:uid="{00000000-0005-0000-0000-00007F140000}"/>
    <cellStyle name="Normal 4 3 3 2 6 2 2" xfId="8548" xr:uid="{00000000-0005-0000-0000-000080140000}"/>
    <cellStyle name="Normal 4 3 3 2 6 3" xfId="6403" xr:uid="{00000000-0005-0000-0000-000081140000}"/>
    <cellStyle name="Normal 4 3 3 2 7" xfId="2532" xr:uid="{00000000-0005-0000-0000-000082140000}"/>
    <cellStyle name="Normal 4 3 3 2 7 2" xfId="6816" xr:uid="{00000000-0005-0000-0000-000083140000}"/>
    <cellStyle name="Normal 4 3 3 2 8" xfId="4751"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1" xr:uid="{00000000-0005-0000-0000-000088140000}"/>
    <cellStyle name="Normal 4 3 3 3 2 3" xfId="5166" xr:uid="{00000000-0005-0000-0000-000089140000}"/>
    <cellStyle name="Normal 4 3 3 3 3" xfId="1271" xr:uid="{00000000-0005-0000-0000-00008A140000}"/>
    <cellStyle name="Normal 4 3 3 3 3 2" xfId="3501" xr:uid="{00000000-0005-0000-0000-00008B140000}"/>
    <cellStyle name="Normal 4 3 3 3 3 2 2" xfId="7724" xr:uid="{00000000-0005-0000-0000-00008C140000}"/>
    <cellStyle name="Normal 4 3 3 3 3 3" xfId="5579" xr:uid="{00000000-0005-0000-0000-00008D140000}"/>
    <cellStyle name="Normal 4 3 3 3 4" xfId="1684" xr:uid="{00000000-0005-0000-0000-00008E140000}"/>
    <cellStyle name="Normal 4 3 3 3 4 2" xfId="3914" xr:uid="{00000000-0005-0000-0000-00008F140000}"/>
    <cellStyle name="Normal 4 3 3 3 4 2 2" xfId="8137" xr:uid="{00000000-0005-0000-0000-000090140000}"/>
    <cellStyle name="Normal 4 3 3 3 4 3" xfId="5992" xr:uid="{00000000-0005-0000-0000-000091140000}"/>
    <cellStyle name="Normal 4 3 3 3 5" xfId="2098" xr:uid="{00000000-0005-0000-0000-000092140000}"/>
    <cellStyle name="Normal 4 3 3 3 5 2" xfId="4327" xr:uid="{00000000-0005-0000-0000-000093140000}"/>
    <cellStyle name="Normal 4 3 3 3 5 2 2" xfId="8550" xr:uid="{00000000-0005-0000-0000-000094140000}"/>
    <cellStyle name="Normal 4 3 3 3 5 3" xfId="6405" xr:uid="{00000000-0005-0000-0000-000095140000}"/>
    <cellStyle name="Normal 4 3 3 3 6" xfId="2534" xr:uid="{00000000-0005-0000-0000-000096140000}"/>
    <cellStyle name="Normal 4 3 3 3 6 2" xfId="6818" xr:uid="{00000000-0005-0000-0000-000097140000}"/>
    <cellStyle name="Normal 4 3 3 3 7" xfId="4753" xr:uid="{00000000-0005-0000-0000-000098140000}"/>
    <cellStyle name="Normal 4 3 3 4" xfId="850" xr:uid="{00000000-0005-0000-0000-000099140000}"/>
    <cellStyle name="Normal 4 3 3 4 2" xfId="3085" xr:uid="{00000000-0005-0000-0000-00009A140000}"/>
    <cellStyle name="Normal 4 3 3 4 2 2" xfId="7308" xr:uid="{00000000-0005-0000-0000-00009B140000}"/>
    <cellStyle name="Normal 4 3 3 4 3" xfId="5163" xr:uid="{00000000-0005-0000-0000-00009C140000}"/>
    <cellStyle name="Normal 4 3 3 5" xfId="1268" xr:uid="{00000000-0005-0000-0000-00009D140000}"/>
    <cellStyle name="Normal 4 3 3 5 2" xfId="3498" xr:uid="{00000000-0005-0000-0000-00009E140000}"/>
    <cellStyle name="Normal 4 3 3 5 2 2" xfId="7721" xr:uid="{00000000-0005-0000-0000-00009F140000}"/>
    <cellStyle name="Normal 4 3 3 5 3" xfId="5576" xr:uid="{00000000-0005-0000-0000-0000A0140000}"/>
    <cellStyle name="Normal 4 3 3 6" xfId="1681" xr:uid="{00000000-0005-0000-0000-0000A1140000}"/>
    <cellStyle name="Normal 4 3 3 6 2" xfId="3911" xr:uid="{00000000-0005-0000-0000-0000A2140000}"/>
    <cellStyle name="Normal 4 3 3 6 2 2" xfId="8134" xr:uid="{00000000-0005-0000-0000-0000A3140000}"/>
    <cellStyle name="Normal 4 3 3 6 3" xfId="5989" xr:uid="{00000000-0005-0000-0000-0000A4140000}"/>
    <cellStyle name="Normal 4 3 3 7" xfId="2095" xr:uid="{00000000-0005-0000-0000-0000A5140000}"/>
    <cellStyle name="Normal 4 3 3 7 2" xfId="4324" xr:uid="{00000000-0005-0000-0000-0000A6140000}"/>
    <cellStyle name="Normal 4 3 3 7 2 2" xfId="8547" xr:uid="{00000000-0005-0000-0000-0000A7140000}"/>
    <cellStyle name="Normal 4 3 3 7 3" xfId="6402" xr:uid="{00000000-0005-0000-0000-0000A8140000}"/>
    <cellStyle name="Normal 4 3 3 8" xfId="2531" xr:uid="{00000000-0005-0000-0000-0000A9140000}"/>
    <cellStyle name="Normal 4 3 3 8 2" xfId="6815" xr:uid="{00000000-0005-0000-0000-0000AA140000}"/>
    <cellStyle name="Normal 4 3 3 9" xfId="4750" xr:uid="{00000000-0005-0000-0000-0000AB140000}"/>
    <cellStyle name="Normal 4 3 4" xfId="843" xr:uid="{00000000-0005-0000-0000-0000AC140000}"/>
    <cellStyle name="Normal 4 3 4 2" xfId="3080" xr:uid="{00000000-0005-0000-0000-0000AD140000}"/>
    <cellStyle name="Normal 4 3 4 2 2" xfId="7303" xr:uid="{00000000-0005-0000-0000-0000AE140000}"/>
    <cellStyle name="Normal 4 3 4 3" xfId="5158" xr:uid="{00000000-0005-0000-0000-0000AF140000}"/>
    <cellStyle name="Normal 4 3 5" xfId="1263" xr:uid="{00000000-0005-0000-0000-0000B0140000}"/>
    <cellStyle name="Normal 4 3 5 2" xfId="3493" xr:uid="{00000000-0005-0000-0000-0000B1140000}"/>
    <cellStyle name="Normal 4 3 5 2 2" xfId="7716" xr:uid="{00000000-0005-0000-0000-0000B2140000}"/>
    <cellStyle name="Normal 4 3 5 3" xfId="5571" xr:uid="{00000000-0005-0000-0000-0000B3140000}"/>
    <cellStyle name="Normal 4 3 6" xfId="1676" xr:uid="{00000000-0005-0000-0000-0000B4140000}"/>
    <cellStyle name="Normal 4 3 6 2" xfId="3906" xr:uid="{00000000-0005-0000-0000-0000B5140000}"/>
    <cellStyle name="Normal 4 3 6 2 2" xfId="8129" xr:uid="{00000000-0005-0000-0000-0000B6140000}"/>
    <cellStyle name="Normal 4 3 6 3" xfId="5984" xr:uid="{00000000-0005-0000-0000-0000B7140000}"/>
    <cellStyle name="Normal 4 3 7" xfId="2090" xr:uid="{00000000-0005-0000-0000-0000B8140000}"/>
    <cellStyle name="Normal 4 3 7 2" xfId="4319" xr:uid="{00000000-0005-0000-0000-0000B9140000}"/>
    <cellStyle name="Normal 4 3 7 2 2" xfId="8542" xr:uid="{00000000-0005-0000-0000-0000BA140000}"/>
    <cellStyle name="Normal 4 3 7 3" xfId="6397" xr:uid="{00000000-0005-0000-0000-0000BB140000}"/>
    <cellStyle name="Normal 4 3 8" xfId="2526" xr:uid="{00000000-0005-0000-0000-0000BC140000}"/>
    <cellStyle name="Normal 4 3 8 2" xfId="6810" xr:uid="{00000000-0005-0000-0000-0000BD140000}"/>
    <cellStyle name="Normal 4 3 9" xfId="4745" xr:uid="{00000000-0005-0000-0000-0000BE140000}"/>
    <cellStyle name="Normal 4 4" xfId="378" xr:uid="{00000000-0005-0000-0000-0000BF140000}"/>
    <cellStyle name="Normal 4 4 10" xfId="2535" xr:uid="{00000000-0005-0000-0000-0000C0140000}"/>
    <cellStyle name="Normal 4 4 10 2" xfId="6819" xr:uid="{00000000-0005-0000-0000-0000C1140000}"/>
    <cellStyle name="Normal 4 4 11" xfId="4754" xr:uid="{00000000-0005-0000-0000-0000C2140000}"/>
    <cellStyle name="Normal 4 4 2" xfId="379" xr:uid="{00000000-0005-0000-0000-0000C3140000}"/>
    <cellStyle name="Normal 4 4 2 10" xfId="4755"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6" xr:uid="{00000000-0005-0000-0000-0000CA140000}"/>
    <cellStyle name="Normal 4 4 2 2 2 2 2 3" xfId="5171" xr:uid="{00000000-0005-0000-0000-0000CB140000}"/>
    <cellStyle name="Normal 4 4 2 2 2 2 3" xfId="1276" xr:uid="{00000000-0005-0000-0000-0000CC140000}"/>
    <cellStyle name="Normal 4 4 2 2 2 2 3 2" xfId="3506" xr:uid="{00000000-0005-0000-0000-0000CD140000}"/>
    <cellStyle name="Normal 4 4 2 2 2 2 3 2 2" xfId="7729" xr:uid="{00000000-0005-0000-0000-0000CE140000}"/>
    <cellStyle name="Normal 4 4 2 2 2 2 3 3" xfId="5584" xr:uid="{00000000-0005-0000-0000-0000CF140000}"/>
    <cellStyle name="Normal 4 4 2 2 2 2 4" xfId="1689" xr:uid="{00000000-0005-0000-0000-0000D0140000}"/>
    <cellStyle name="Normal 4 4 2 2 2 2 4 2" xfId="3919" xr:uid="{00000000-0005-0000-0000-0000D1140000}"/>
    <cellStyle name="Normal 4 4 2 2 2 2 4 2 2" xfId="8142" xr:uid="{00000000-0005-0000-0000-0000D2140000}"/>
    <cellStyle name="Normal 4 4 2 2 2 2 4 3" xfId="5997" xr:uid="{00000000-0005-0000-0000-0000D3140000}"/>
    <cellStyle name="Normal 4 4 2 2 2 2 5" xfId="2103" xr:uid="{00000000-0005-0000-0000-0000D4140000}"/>
    <cellStyle name="Normal 4 4 2 2 2 2 5 2" xfId="4332" xr:uid="{00000000-0005-0000-0000-0000D5140000}"/>
    <cellStyle name="Normal 4 4 2 2 2 2 5 2 2" xfId="8555" xr:uid="{00000000-0005-0000-0000-0000D6140000}"/>
    <cellStyle name="Normal 4 4 2 2 2 2 5 3" xfId="6410" xr:uid="{00000000-0005-0000-0000-0000D7140000}"/>
    <cellStyle name="Normal 4 4 2 2 2 2 6" xfId="2539" xr:uid="{00000000-0005-0000-0000-0000D8140000}"/>
    <cellStyle name="Normal 4 4 2 2 2 2 6 2" xfId="6823" xr:uid="{00000000-0005-0000-0000-0000D9140000}"/>
    <cellStyle name="Normal 4 4 2 2 2 2 7" xfId="4758" xr:uid="{00000000-0005-0000-0000-0000DA140000}"/>
    <cellStyle name="Normal 4 4 2 2 2 3" xfId="857" xr:uid="{00000000-0005-0000-0000-0000DB140000}"/>
    <cellStyle name="Normal 4 4 2 2 2 3 2" xfId="3092" xr:uid="{00000000-0005-0000-0000-0000DC140000}"/>
    <cellStyle name="Normal 4 4 2 2 2 3 2 2" xfId="7315" xr:uid="{00000000-0005-0000-0000-0000DD140000}"/>
    <cellStyle name="Normal 4 4 2 2 2 3 3" xfId="5170" xr:uid="{00000000-0005-0000-0000-0000DE140000}"/>
    <cellStyle name="Normal 4 4 2 2 2 4" xfId="1275" xr:uid="{00000000-0005-0000-0000-0000DF140000}"/>
    <cellStyle name="Normal 4 4 2 2 2 4 2" xfId="3505" xr:uid="{00000000-0005-0000-0000-0000E0140000}"/>
    <cellStyle name="Normal 4 4 2 2 2 4 2 2" xfId="7728" xr:uid="{00000000-0005-0000-0000-0000E1140000}"/>
    <cellStyle name="Normal 4 4 2 2 2 4 3" xfId="5583" xr:uid="{00000000-0005-0000-0000-0000E2140000}"/>
    <cellStyle name="Normal 4 4 2 2 2 5" xfId="1688" xr:uid="{00000000-0005-0000-0000-0000E3140000}"/>
    <cellStyle name="Normal 4 4 2 2 2 5 2" xfId="3918" xr:uid="{00000000-0005-0000-0000-0000E4140000}"/>
    <cellStyle name="Normal 4 4 2 2 2 5 2 2" xfId="8141" xr:uid="{00000000-0005-0000-0000-0000E5140000}"/>
    <cellStyle name="Normal 4 4 2 2 2 5 3" xfId="5996" xr:uid="{00000000-0005-0000-0000-0000E6140000}"/>
    <cellStyle name="Normal 4 4 2 2 2 6" xfId="2102" xr:uid="{00000000-0005-0000-0000-0000E7140000}"/>
    <cellStyle name="Normal 4 4 2 2 2 6 2" xfId="4331" xr:uid="{00000000-0005-0000-0000-0000E8140000}"/>
    <cellStyle name="Normal 4 4 2 2 2 6 2 2" xfId="8554" xr:uid="{00000000-0005-0000-0000-0000E9140000}"/>
    <cellStyle name="Normal 4 4 2 2 2 6 3" xfId="6409" xr:uid="{00000000-0005-0000-0000-0000EA140000}"/>
    <cellStyle name="Normal 4 4 2 2 2 7" xfId="2538" xr:uid="{00000000-0005-0000-0000-0000EB140000}"/>
    <cellStyle name="Normal 4 4 2 2 2 7 2" xfId="6822" xr:uid="{00000000-0005-0000-0000-0000EC140000}"/>
    <cellStyle name="Normal 4 4 2 2 2 8" xfId="4757"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7" xr:uid="{00000000-0005-0000-0000-0000F1140000}"/>
    <cellStyle name="Normal 4 4 2 2 3 2 3" xfId="5172" xr:uid="{00000000-0005-0000-0000-0000F2140000}"/>
    <cellStyle name="Normal 4 4 2 2 3 3" xfId="1277" xr:uid="{00000000-0005-0000-0000-0000F3140000}"/>
    <cellStyle name="Normal 4 4 2 2 3 3 2" xfId="3507" xr:uid="{00000000-0005-0000-0000-0000F4140000}"/>
    <cellStyle name="Normal 4 4 2 2 3 3 2 2" xfId="7730" xr:uid="{00000000-0005-0000-0000-0000F5140000}"/>
    <cellStyle name="Normal 4 4 2 2 3 3 3" xfId="5585" xr:uid="{00000000-0005-0000-0000-0000F6140000}"/>
    <cellStyle name="Normal 4 4 2 2 3 4" xfId="1690" xr:uid="{00000000-0005-0000-0000-0000F7140000}"/>
    <cellStyle name="Normal 4 4 2 2 3 4 2" xfId="3920" xr:uid="{00000000-0005-0000-0000-0000F8140000}"/>
    <cellStyle name="Normal 4 4 2 2 3 4 2 2" xfId="8143" xr:uid="{00000000-0005-0000-0000-0000F9140000}"/>
    <cellStyle name="Normal 4 4 2 2 3 4 3" xfId="5998" xr:uid="{00000000-0005-0000-0000-0000FA140000}"/>
    <cellStyle name="Normal 4 4 2 2 3 5" xfId="2104" xr:uid="{00000000-0005-0000-0000-0000FB140000}"/>
    <cellStyle name="Normal 4 4 2 2 3 5 2" xfId="4333" xr:uid="{00000000-0005-0000-0000-0000FC140000}"/>
    <cellStyle name="Normal 4 4 2 2 3 5 2 2" xfId="8556" xr:uid="{00000000-0005-0000-0000-0000FD140000}"/>
    <cellStyle name="Normal 4 4 2 2 3 5 3" xfId="6411" xr:uid="{00000000-0005-0000-0000-0000FE140000}"/>
    <cellStyle name="Normal 4 4 2 2 3 6" xfId="2540" xr:uid="{00000000-0005-0000-0000-0000FF140000}"/>
    <cellStyle name="Normal 4 4 2 2 3 6 2" xfId="6824" xr:uid="{00000000-0005-0000-0000-000000150000}"/>
    <cellStyle name="Normal 4 4 2 2 3 7" xfId="4759" xr:uid="{00000000-0005-0000-0000-000001150000}"/>
    <cellStyle name="Normal 4 4 2 2 4" xfId="856" xr:uid="{00000000-0005-0000-0000-000002150000}"/>
    <cellStyle name="Normal 4 4 2 2 4 2" xfId="3091" xr:uid="{00000000-0005-0000-0000-000003150000}"/>
    <cellStyle name="Normal 4 4 2 2 4 2 2" xfId="7314" xr:uid="{00000000-0005-0000-0000-000004150000}"/>
    <cellStyle name="Normal 4 4 2 2 4 3" xfId="5169" xr:uid="{00000000-0005-0000-0000-000005150000}"/>
    <cellStyle name="Normal 4 4 2 2 5" xfId="1274" xr:uid="{00000000-0005-0000-0000-000006150000}"/>
    <cellStyle name="Normal 4 4 2 2 5 2" xfId="3504" xr:uid="{00000000-0005-0000-0000-000007150000}"/>
    <cellStyle name="Normal 4 4 2 2 5 2 2" xfId="7727" xr:uid="{00000000-0005-0000-0000-000008150000}"/>
    <cellStyle name="Normal 4 4 2 2 5 3" xfId="5582" xr:uid="{00000000-0005-0000-0000-000009150000}"/>
    <cellStyle name="Normal 4 4 2 2 6" xfId="1687" xr:uid="{00000000-0005-0000-0000-00000A150000}"/>
    <cellStyle name="Normal 4 4 2 2 6 2" xfId="3917" xr:uid="{00000000-0005-0000-0000-00000B150000}"/>
    <cellStyle name="Normal 4 4 2 2 6 2 2" xfId="8140" xr:uid="{00000000-0005-0000-0000-00000C150000}"/>
    <cellStyle name="Normal 4 4 2 2 6 3" xfId="5995" xr:uid="{00000000-0005-0000-0000-00000D150000}"/>
    <cellStyle name="Normal 4 4 2 2 7" xfId="2101" xr:uid="{00000000-0005-0000-0000-00000E150000}"/>
    <cellStyle name="Normal 4 4 2 2 7 2" xfId="4330" xr:uid="{00000000-0005-0000-0000-00000F150000}"/>
    <cellStyle name="Normal 4 4 2 2 7 2 2" xfId="8553" xr:uid="{00000000-0005-0000-0000-000010150000}"/>
    <cellStyle name="Normal 4 4 2 2 7 3" xfId="6408" xr:uid="{00000000-0005-0000-0000-000011150000}"/>
    <cellStyle name="Normal 4 4 2 2 8" xfId="2537" xr:uid="{00000000-0005-0000-0000-000012150000}"/>
    <cellStyle name="Normal 4 4 2 2 8 2" xfId="6821" xr:uid="{00000000-0005-0000-0000-000013150000}"/>
    <cellStyle name="Normal 4 4 2 2 9" xfId="4756"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19" xr:uid="{00000000-0005-0000-0000-000019150000}"/>
    <cellStyle name="Normal 4 4 2 3 2 2 3" xfId="5174" xr:uid="{00000000-0005-0000-0000-00001A150000}"/>
    <cellStyle name="Normal 4 4 2 3 2 3" xfId="1279" xr:uid="{00000000-0005-0000-0000-00001B150000}"/>
    <cellStyle name="Normal 4 4 2 3 2 3 2" xfId="3509" xr:uid="{00000000-0005-0000-0000-00001C150000}"/>
    <cellStyle name="Normal 4 4 2 3 2 3 2 2" xfId="7732" xr:uid="{00000000-0005-0000-0000-00001D150000}"/>
    <cellStyle name="Normal 4 4 2 3 2 3 3" xfId="5587" xr:uid="{00000000-0005-0000-0000-00001E150000}"/>
    <cellStyle name="Normal 4 4 2 3 2 4" xfId="1692" xr:uid="{00000000-0005-0000-0000-00001F150000}"/>
    <cellStyle name="Normal 4 4 2 3 2 4 2" xfId="3922" xr:uid="{00000000-0005-0000-0000-000020150000}"/>
    <cellStyle name="Normal 4 4 2 3 2 4 2 2" xfId="8145" xr:uid="{00000000-0005-0000-0000-000021150000}"/>
    <cellStyle name="Normal 4 4 2 3 2 4 3" xfId="6000" xr:uid="{00000000-0005-0000-0000-000022150000}"/>
    <cellStyle name="Normal 4 4 2 3 2 5" xfId="2106" xr:uid="{00000000-0005-0000-0000-000023150000}"/>
    <cellStyle name="Normal 4 4 2 3 2 5 2" xfId="4335" xr:uid="{00000000-0005-0000-0000-000024150000}"/>
    <cellStyle name="Normal 4 4 2 3 2 5 2 2" xfId="8558" xr:uid="{00000000-0005-0000-0000-000025150000}"/>
    <cellStyle name="Normal 4 4 2 3 2 5 3" xfId="6413" xr:uid="{00000000-0005-0000-0000-000026150000}"/>
    <cellStyle name="Normal 4 4 2 3 2 6" xfId="2542" xr:uid="{00000000-0005-0000-0000-000027150000}"/>
    <cellStyle name="Normal 4 4 2 3 2 6 2" xfId="6826" xr:uid="{00000000-0005-0000-0000-000028150000}"/>
    <cellStyle name="Normal 4 4 2 3 2 7" xfId="4761" xr:uid="{00000000-0005-0000-0000-000029150000}"/>
    <cellStyle name="Normal 4 4 2 3 3" xfId="860" xr:uid="{00000000-0005-0000-0000-00002A150000}"/>
    <cellStyle name="Normal 4 4 2 3 3 2" xfId="3095" xr:uid="{00000000-0005-0000-0000-00002B150000}"/>
    <cellStyle name="Normal 4 4 2 3 3 2 2" xfId="7318" xr:uid="{00000000-0005-0000-0000-00002C150000}"/>
    <cellStyle name="Normal 4 4 2 3 3 3" xfId="5173" xr:uid="{00000000-0005-0000-0000-00002D150000}"/>
    <cellStyle name="Normal 4 4 2 3 4" xfId="1278" xr:uid="{00000000-0005-0000-0000-00002E150000}"/>
    <cellStyle name="Normal 4 4 2 3 4 2" xfId="3508" xr:uid="{00000000-0005-0000-0000-00002F150000}"/>
    <cellStyle name="Normal 4 4 2 3 4 2 2" xfId="7731" xr:uid="{00000000-0005-0000-0000-000030150000}"/>
    <cellStyle name="Normal 4 4 2 3 4 3" xfId="5586" xr:uid="{00000000-0005-0000-0000-000031150000}"/>
    <cellStyle name="Normal 4 4 2 3 5" xfId="1691" xr:uid="{00000000-0005-0000-0000-000032150000}"/>
    <cellStyle name="Normal 4 4 2 3 5 2" xfId="3921" xr:uid="{00000000-0005-0000-0000-000033150000}"/>
    <cellStyle name="Normal 4 4 2 3 5 2 2" xfId="8144" xr:uid="{00000000-0005-0000-0000-000034150000}"/>
    <cellStyle name="Normal 4 4 2 3 5 3" xfId="5999" xr:uid="{00000000-0005-0000-0000-000035150000}"/>
    <cellStyle name="Normal 4 4 2 3 6" xfId="2105" xr:uid="{00000000-0005-0000-0000-000036150000}"/>
    <cellStyle name="Normal 4 4 2 3 6 2" xfId="4334" xr:uid="{00000000-0005-0000-0000-000037150000}"/>
    <cellStyle name="Normal 4 4 2 3 6 2 2" xfId="8557" xr:uid="{00000000-0005-0000-0000-000038150000}"/>
    <cellStyle name="Normal 4 4 2 3 6 3" xfId="6412" xr:uid="{00000000-0005-0000-0000-000039150000}"/>
    <cellStyle name="Normal 4 4 2 3 7" xfId="2541" xr:uid="{00000000-0005-0000-0000-00003A150000}"/>
    <cellStyle name="Normal 4 4 2 3 7 2" xfId="6825" xr:uid="{00000000-0005-0000-0000-00003B150000}"/>
    <cellStyle name="Normal 4 4 2 3 8" xfId="4760"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0" xr:uid="{00000000-0005-0000-0000-000040150000}"/>
    <cellStyle name="Normal 4 4 2 4 2 3" xfId="5175" xr:uid="{00000000-0005-0000-0000-000041150000}"/>
    <cellStyle name="Normal 4 4 2 4 3" xfId="1280" xr:uid="{00000000-0005-0000-0000-000042150000}"/>
    <cellStyle name="Normal 4 4 2 4 3 2" xfId="3510" xr:uid="{00000000-0005-0000-0000-000043150000}"/>
    <cellStyle name="Normal 4 4 2 4 3 2 2" xfId="7733" xr:uid="{00000000-0005-0000-0000-000044150000}"/>
    <cellStyle name="Normal 4 4 2 4 3 3" xfId="5588" xr:uid="{00000000-0005-0000-0000-000045150000}"/>
    <cellStyle name="Normal 4 4 2 4 4" xfId="1693" xr:uid="{00000000-0005-0000-0000-000046150000}"/>
    <cellStyle name="Normal 4 4 2 4 4 2" xfId="3923" xr:uid="{00000000-0005-0000-0000-000047150000}"/>
    <cellStyle name="Normal 4 4 2 4 4 2 2" xfId="8146" xr:uid="{00000000-0005-0000-0000-000048150000}"/>
    <cellStyle name="Normal 4 4 2 4 4 3" xfId="6001" xr:uid="{00000000-0005-0000-0000-000049150000}"/>
    <cellStyle name="Normal 4 4 2 4 5" xfId="2107" xr:uid="{00000000-0005-0000-0000-00004A150000}"/>
    <cellStyle name="Normal 4 4 2 4 5 2" xfId="4336" xr:uid="{00000000-0005-0000-0000-00004B150000}"/>
    <cellStyle name="Normal 4 4 2 4 5 2 2" xfId="8559" xr:uid="{00000000-0005-0000-0000-00004C150000}"/>
    <cellStyle name="Normal 4 4 2 4 5 3" xfId="6414" xr:uid="{00000000-0005-0000-0000-00004D150000}"/>
    <cellStyle name="Normal 4 4 2 4 6" xfId="2543" xr:uid="{00000000-0005-0000-0000-00004E150000}"/>
    <cellStyle name="Normal 4 4 2 4 6 2" xfId="6827" xr:uid="{00000000-0005-0000-0000-00004F150000}"/>
    <cellStyle name="Normal 4 4 2 4 7" xfId="4762" xr:uid="{00000000-0005-0000-0000-000050150000}"/>
    <cellStyle name="Normal 4 4 2 5" xfId="855" xr:uid="{00000000-0005-0000-0000-000051150000}"/>
    <cellStyle name="Normal 4 4 2 5 2" xfId="3090" xr:uid="{00000000-0005-0000-0000-000052150000}"/>
    <cellStyle name="Normal 4 4 2 5 2 2" xfId="7313" xr:uid="{00000000-0005-0000-0000-000053150000}"/>
    <cellStyle name="Normal 4 4 2 5 3" xfId="5168" xr:uid="{00000000-0005-0000-0000-000054150000}"/>
    <cellStyle name="Normal 4 4 2 6" xfId="1273" xr:uid="{00000000-0005-0000-0000-000055150000}"/>
    <cellStyle name="Normal 4 4 2 6 2" xfId="3503" xr:uid="{00000000-0005-0000-0000-000056150000}"/>
    <cellStyle name="Normal 4 4 2 6 2 2" xfId="7726" xr:uid="{00000000-0005-0000-0000-000057150000}"/>
    <cellStyle name="Normal 4 4 2 6 3" xfId="5581" xr:uid="{00000000-0005-0000-0000-000058150000}"/>
    <cellStyle name="Normal 4 4 2 7" xfId="1686" xr:uid="{00000000-0005-0000-0000-000059150000}"/>
    <cellStyle name="Normal 4 4 2 7 2" xfId="3916" xr:uid="{00000000-0005-0000-0000-00005A150000}"/>
    <cellStyle name="Normal 4 4 2 7 2 2" xfId="8139" xr:uid="{00000000-0005-0000-0000-00005B150000}"/>
    <cellStyle name="Normal 4 4 2 7 3" xfId="5994" xr:uid="{00000000-0005-0000-0000-00005C150000}"/>
    <cellStyle name="Normal 4 4 2 8" xfId="2100" xr:uid="{00000000-0005-0000-0000-00005D150000}"/>
    <cellStyle name="Normal 4 4 2 8 2" xfId="4329" xr:uid="{00000000-0005-0000-0000-00005E150000}"/>
    <cellStyle name="Normal 4 4 2 8 2 2" xfId="8552" xr:uid="{00000000-0005-0000-0000-00005F150000}"/>
    <cellStyle name="Normal 4 4 2 8 3" xfId="6407" xr:uid="{00000000-0005-0000-0000-000060150000}"/>
    <cellStyle name="Normal 4 4 2 9" xfId="2536" xr:uid="{00000000-0005-0000-0000-000061150000}"/>
    <cellStyle name="Normal 4 4 2 9 2" xfId="6820"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3" xr:uid="{00000000-0005-0000-0000-000068150000}"/>
    <cellStyle name="Normal 4 4 3 2 2 2 3" xfId="5178" xr:uid="{00000000-0005-0000-0000-000069150000}"/>
    <cellStyle name="Normal 4 4 3 2 2 3" xfId="1283" xr:uid="{00000000-0005-0000-0000-00006A150000}"/>
    <cellStyle name="Normal 4 4 3 2 2 3 2" xfId="3513" xr:uid="{00000000-0005-0000-0000-00006B150000}"/>
    <cellStyle name="Normal 4 4 3 2 2 3 2 2" xfId="7736" xr:uid="{00000000-0005-0000-0000-00006C150000}"/>
    <cellStyle name="Normal 4 4 3 2 2 3 3" xfId="5591" xr:uid="{00000000-0005-0000-0000-00006D150000}"/>
    <cellStyle name="Normal 4 4 3 2 2 4" xfId="1696" xr:uid="{00000000-0005-0000-0000-00006E150000}"/>
    <cellStyle name="Normal 4 4 3 2 2 4 2" xfId="3926" xr:uid="{00000000-0005-0000-0000-00006F150000}"/>
    <cellStyle name="Normal 4 4 3 2 2 4 2 2" xfId="8149" xr:uid="{00000000-0005-0000-0000-000070150000}"/>
    <cellStyle name="Normal 4 4 3 2 2 4 3" xfId="6004" xr:uid="{00000000-0005-0000-0000-000071150000}"/>
    <cellStyle name="Normal 4 4 3 2 2 5" xfId="2110" xr:uid="{00000000-0005-0000-0000-000072150000}"/>
    <cellStyle name="Normal 4 4 3 2 2 5 2" xfId="4339" xr:uid="{00000000-0005-0000-0000-000073150000}"/>
    <cellStyle name="Normal 4 4 3 2 2 5 2 2" xfId="8562" xr:uid="{00000000-0005-0000-0000-000074150000}"/>
    <cellStyle name="Normal 4 4 3 2 2 5 3" xfId="6417" xr:uid="{00000000-0005-0000-0000-000075150000}"/>
    <cellStyle name="Normal 4 4 3 2 2 6" xfId="2546" xr:uid="{00000000-0005-0000-0000-000076150000}"/>
    <cellStyle name="Normal 4 4 3 2 2 6 2" xfId="6830" xr:uid="{00000000-0005-0000-0000-000077150000}"/>
    <cellStyle name="Normal 4 4 3 2 2 7" xfId="4765" xr:uid="{00000000-0005-0000-0000-000078150000}"/>
    <cellStyle name="Normal 4 4 3 2 3" xfId="864" xr:uid="{00000000-0005-0000-0000-000079150000}"/>
    <cellStyle name="Normal 4 4 3 2 3 2" xfId="3099" xr:uid="{00000000-0005-0000-0000-00007A150000}"/>
    <cellStyle name="Normal 4 4 3 2 3 2 2" xfId="7322" xr:uid="{00000000-0005-0000-0000-00007B150000}"/>
    <cellStyle name="Normal 4 4 3 2 3 3" xfId="5177" xr:uid="{00000000-0005-0000-0000-00007C150000}"/>
    <cellStyle name="Normal 4 4 3 2 4" xfId="1282" xr:uid="{00000000-0005-0000-0000-00007D150000}"/>
    <cellStyle name="Normal 4 4 3 2 4 2" xfId="3512" xr:uid="{00000000-0005-0000-0000-00007E150000}"/>
    <cellStyle name="Normal 4 4 3 2 4 2 2" xfId="7735" xr:uid="{00000000-0005-0000-0000-00007F150000}"/>
    <cellStyle name="Normal 4 4 3 2 4 3" xfId="5590" xr:uid="{00000000-0005-0000-0000-000080150000}"/>
    <cellStyle name="Normal 4 4 3 2 5" xfId="1695" xr:uid="{00000000-0005-0000-0000-000081150000}"/>
    <cellStyle name="Normal 4 4 3 2 5 2" xfId="3925" xr:uid="{00000000-0005-0000-0000-000082150000}"/>
    <cellStyle name="Normal 4 4 3 2 5 2 2" xfId="8148" xr:uid="{00000000-0005-0000-0000-000083150000}"/>
    <cellStyle name="Normal 4 4 3 2 5 3" xfId="6003" xr:uid="{00000000-0005-0000-0000-000084150000}"/>
    <cellStyle name="Normal 4 4 3 2 6" xfId="2109" xr:uid="{00000000-0005-0000-0000-000085150000}"/>
    <cellStyle name="Normal 4 4 3 2 6 2" xfId="4338" xr:uid="{00000000-0005-0000-0000-000086150000}"/>
    <cellStyle name="Normal 4 4 3 2 6 2 2" xfId="8561" xr:uid="{00000000-0005-0000-0000-000087150000}"/>
    <cellStyle name="Normal 4 4 3 2 6 3" xfId="6416" xr:uid="{00000000-0005-0000-0000-000088150000}"/>
    <cellStyle name="Normal 4 4 3 2 7" xfId="2545" xr:uid="{00000000-0005-0000-0000-000089150000}"/>
    <cellStyle name="Normal 4 4 3 2 7 2" xfId="6829" xr:uid="{00000000-0005-0000-0000-00008A150000}"/>
    <cellStyle name="Normal 4 4 3 2 8" xfId="4764"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4" xr:uid="{00000000-0005-0000-0000-00008F150000}"/>
    <cellStyle name="Normal 4 4 3 3 2 3" xfId="5179" xr:uid="{00000000-0005-0000-0000-000090150000}"/>
    <cellStyle name="Normal 4 4 3 3 3" xfId="1284" xr:uid="{00000000-0005-0000-0000-000091150000}"/>
    <cellStyle name="Normal 4 4 3 3 3 2" xfId="3514" xr:uid="{00000000-0005-0000-0000-000092150000}"/>
    <cellStyle name="Normal 4 4 3 3 3 2 2" xfId="7737" xr:uid="{00000000-0005-0000-0000-000093150000}"/>
    <cellStyle name="Normal 4 4 3 3 3 3" xfId="5592" xr:uid="{00000000-0005-0000-0000-000094150000}"/>
    <cellStyle name="Normal 4 4 3 3 4" xfId="1697" xr:uid="{00000000-0005-0000-0000-000095150000}"/>
    <cellStyle name="Normal 4 4 3 3 4 2" xfId="3927" xr:uid="{00000000-0005-0000-0000-000096150000}"/>
    <cellStyle name="Normal 4 4 3 3 4 2 2" xfId="8150" xr:uid="{00000000-0005-0000-0000-000097150000}"/>
    <cellStyle name="Normal 4 4 3 3 4 3" xfId="6005" xr:uid="{00000000-0005-0000-0000-000098150000}"/>
    <cellStyle name="Normal 4 4 3 3 5" xfId="2111" xr:uid="{00000000-0005-0000-0000-000099150000}"/>
    <cellStyle name="Normal 4 4 3 3 5 2" xfId="4340" xr:uid="{00000000-0005-0000-0000-00009A150000}"/>
    <cellStyle name="Normal 4 4 3 3 5 2 2" xfId="8563" xr:uid="{00000000-0005-0000-0000-00009B150000}"/>
    <cellStyle name="Normal 4 4 3 3 5 3" xfId="6418" xr:uid="{00000000-0005-0000-0000-00009C150000}"/>
    <cellStyle name="Normal 4 4 3 3 6" xfId="2547" xr:uid="{00000000-0005-0000-0000-00009D150000}"/>
    <cellStyle name="Normal 4 4 3 3 6 2" xfId="6831" xr:uid="{00000000-0005-0000-0000-00009E150000}"/>
    <cellStyle name="Normal 4 4 3 3 7" xfId="4766" xr:uid="{00000000-0005-0000-0000-00009F150000}"/>
    <cellStyle name="Normal 4 4 3 4" xfId="863" xr:uid="{00000000-0005-0000-0000-0000A0150000}"/>
    <cellStyle name="Normal 4 4 3 4 2" xfId="3098" xr:uid="{00000000-0005-0000-0000-0000A1150000}"/>
    <cellStyle name="Normal 4 4 3 4 2 2" xfId="7321" xr:uid="{00000000-0005-0000-0000-0000A2150000}"/>
    <cellStyle name="Normal 4 4 3 4 3" xfId="5176" xr:uid="{00000000-0005-0000-0000-0000A3150000}"/>
    <cellStyle name="Normal 4 4 3 5" xfId="1281" xr:uid="{00000000-0005-0000-0000-0000A4150000}"/>
    <cellStyle name="Normal 4 4 3 5 2" xfId="3511" xr:uid="{00000000-0005-0000-0000-0000A5150000}"/>
    <cellStyle name="Normal 4 4 3 5 2 2" xfId="7734" xr:uid="{00000000-0005-0000-0000-0000A6150000}"/>
    <cellStyle name="Normal 4 4 3 5 3" xfId="5589" xr:uid="{00000000-0005-0000-0000-0000A7150000}"/>
    <cellStyle name="Normal 4 4 3 6" xfId="1694" xr:uid="{00000000-0005-0000-0000-0000A8150000}"/>
    <cellStyle name="Normal 4 4 3 6 2" xfId="3924" xr:uid="{00000000-0005-0000-0000-0000A9150000}"/>
    <cellStyle name="Normal 4 4 3 6 2 2" xfId="8147" xr:uid="{00000000-0005-0000-0000-0000AA150000}"/>
    <cellStyle name="Normal 4 4 3 6 3" xfId="6002" xr:uid="{00000000-0005-0000-0000-0000AB150000}"/>
    <cellStyle name="Normal 4 4 3 7" xfId="2108" xr:uid="{00000000-0005-0000-0000-0000AC150000}"/>
    <cellStyle name="Normal 4 4 3 7 2" xfId="4337" xr:uid="{00000000-0005-0000-0000-0000AD150000}"/>
    <cellStyle name="Normal 4 4 3 7 2 2" xfId="8560" xr:uid="{00000000-0005-0000-0000-0000AE150000}"/>
    <cellStyle name="Normal 4 4 3 7 3" xfId="6415" xr:uid="{00000000-0005-0000-0000-0000AF150000}"/>
    <cellStyle name="Normal 4 4 3 8" xfId="2544" xr:uid="{00000000-0005-0000-0000-0000B0150000}"/>
    <cellStyle name="Normal 4 4 3 8 2" xfId="6828" xr:uid="{00000000-0005-0000-0000-0000B1150000}"/>
    <cellStyle name="Normal 4 4 3 9" xfId="4763"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6" xr:uid="{00000000-0005-0000-0000-0000B7150000}"/>
    <cellStyle name="Normal 4 4 4 2 2 3" xfId="5181" xr:uid="{00000000-0005-0000-0000-0000B8150000}"/>
    <cellStyle name="Normal 4 4 4 2 3" xfId="1286" xr:uid="{00000000-0005-0000-0000-0000B9150000}"/>
    <cellStyle name="Normal 4 4 4 2 3 2" xfId="3516" xr:uid="{00000000-0005-0000-0000-0000BA150000}"/>
    <cellStyle name="Normal 4 4 4 2 3 2 2" xfId="7739" xr:uid="{00000000-0005-0000-0000-0000BB150000}"/>
    <cellStyle name="Normal 4 4 4 2 3 3" xfId="5594" xr:uid="{00000000-0005-0000-0000-0000BC150000}"/>
    <cellStyle name="Normal 4 4 4 2 4" xfId="1699" xr:uid="{00000000-0005-0000-0000-0000BD150000}"/>
    <cellStyle name="Normal 4 4 4 2 4 2" xfId="3929" xr:uid="{00000000-0005-0000-0000-0000BE150000}"/>
    <cellStyle name="Normal 4 4 4 2 4 2 2" xfId="8152" xr:uid="{00000000-0005-0000-0000-0000BF150000}"/>
    <cellStyle name="Normal 4 4 4 2 4 3" xfId="6007" xr:uid="{00000000-0005-0000-0000-0000C0150000}"/>
    <cellStyle name="Normal 4 4 4 2 5" xfId="2113" xr:uid="{00000000-0005-0000-0000-0000C1150000}"/>
    <cellStyle name="Normal 4 4 4 2 5 2" xfId="4342" xr:uid="{00000000-0005-0000-0000-0000C2150000}"/>
    <cellStyle name="Normal 4 4 4 2 5 2 2" xfId="8565" xr:uid="{00000000-0005-0000-0000-0000C3150000}"/>
    <cellStyle name="Normal 4 4 4 2 5 3" xfId="6420" xr:uid="{00000000-0005-0000-0000-0000C4150000}"/>
    <cellStyle name="Normal 4 4 4 2 6" xfId="2549" xr:uid="{00000000-0005-0000-0000-0000C5150000}"/>
    <cellStyle name="Normal 4 4 4 2 6 2" xfId="6833" xr:uid="{00000000-0005-0000-0000-0000C6150000}"/>
    <cellStyle name="Normal 4 4 4 2 7" xfId="4768" xr:uid="{00000000-0005-0000-0000-0000C7150000}"/>
    <cellStyle name="Normal 4 4 4 3" xfId="867" xr:uid="{00000000-0005-0000-0000-0000C8150000}"/>
    <cellStyle name="Normal 4 4 4 3 2" xfId="3102" xr:uid="{00000000-0005-0000-0000-0000C9150000}"/>
    <cellStyle name="Normal 4 4 4 3 2 2" xfId="7325" xr:uid="{00000000-0005-0000-0000-0000CA150000}"/>
    <cellStyle name="Normal 4 4 4 3 3" xfId="5180" xr:uid="{00000000-0005-0000-0000-0000CB150000}"/>
    <cellStyle name="Normal 4 4 4 4" xfId="1285" xr:uid="{00000000-0005-0000-0000-0000CC150000}"/>
    <cellStyle name="Normal 4 4 4 4 2" xfId="3515" xr:uid="{00000000-0005-0000-0000-0000CD150000}"/>
    <cellStyle name="Normal 4 4 4 4 2 2" xfId="7738" xr:uid="{00000000-0005-0000-0000-0000CE150000}"/>
    <cellStyle name="Normal 4 4 4 4 3" xfId="5593" xr:uid="{00000000-0005-0000-0000-0000CF150000}"/>
    <cellStyle name="Normal 4 4 4 5" xfId="1698" xr:uid="{00000000-0005-0000-0000-0000D0150000}"/>
    <cellStyle name="Normal 4 4 4 5 2" xfId="3928" xr:uid="{00000000-0005-0000-0000-0000D1150000}"/>
    <cellStyle name="Normal 4 4 4 5 2 2" xfId="8151" xr:uid="{00000000-0005-0000-0000-0000D2150000}"/>
    <cellStyle name="Normal 4 4 4 5 3" xfId="6006" xr:uid="{00000000-0005-0000-0000-0000D3150000}"/>
    <cellStyle name="Normal 4 4 4 6" xfId="2112" xr:uid="{00000000-0005-0000-0000-0000D4150000}"/>
    <cellStyle name="Normal 4 4 4 6 2" xfId="4341" xr:uid="{00000000-0005-0000-0000-0000D5150000}"/>
    <cellStyle name="Normal 4 4 4 6 2 2" xfId="8564" xr:uid="{00000000-0005-0000-0000-0000D6150000}"/>
    <cellStyle name="Normal 4 4 4 6 3" xfId="6419" xr:uid="{00000000-0005-0000-0000-0000D7150000}"/>
    <cellStyle name="Normal 4 4 4 7" xfId="2548" xr:uid="{00000000-0005-0000-0000-0000D8150000}"/>
    <cellStyle name="Normal 4 4 4 7 2" xfId="6832" xr:uid="{00000000-0005-0000-0000-0000D9150000}"/>
    <cellStyle name="Normal 4 4 4 8" xfId="4767"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7" xr:uid="{00000000-0005-0000-0000-0000DE150000}"/>
    <cellStyle name="Normal 4 4 5 2 3" xfId="5182" xr:uid="{00000000-0005-0000-0000-0000DF150000}"/>
    <cellStyle name="Normal 4 4 5 3" xfId="1287" xr:uid="{00000000-0005-0000-0000-0000E0150000}"/>
    <cellStyle name="Normal 4 4 5 3 2" xfId="3517" xr:uid="{00000000-0005-0000-0000-0000E1150000}"/>
    <cellStyle name="Normal 4 4 5 3 2 2" xfId="7740" xr:uid="{00000000-0005-0000-0000-0000E2150000}"/>
    <cellStyle name="Normal 4 4 5 3 3" xfId="5595" xr:uid="{00000000-0005-0000-0000-0000E3150000}"/>
    <cellStyle name="Normal 4 4 5 4" xfId="1700" xr:uid="{00000000-0005-0000-0000-0000E4150000}"/>
    <cellStyle name="Normal 4 4 5 4 2" xfId="3930" xr:uid="{00000000-0005-0000-0000-0000E5150000}"/>
    <cellStyle name="Normal 4 4 5 4 2 2" xfId="8153" xr:uid="{00000000-0005-0000-0000-0000E6150000}"/>
    <cellStyle name="Normal 4 4 5 4 3" xfId="6008" xr:uid="{00000000-0005-0000-0000-0000E7150000}"/>
    <cellStyle name="Normal 4 4 5 5" xfId="2114" xr:uid="{00000000-0005-0000-0000-0000E8150000}"/>
    <cellStyle name="Normal 4 4 5 5 2" xfId="4343" xr:uid="{00000000-0005-0000-0000-0000E9150000}"/>
    <cellStyle name="Normal 4 4 5 5 2 2" xfId="8566" xr:uid="{00000000-0005-0000-0000-0000EA150000}"/>
    <cellStyle name="Normal 4 4 5 5 3" xfId="6421" xr:uid="{00000000-0005-0000-0000-0000EB150000}"/>
    <cellStyle name="Normal 4 4 5 6" xfId="2550" xr:uid="{00000000-0005-0000-0000-0000EC150000}"/>
    <cellStyle name="Normal 4 4 5 6 2" xfId="6834" xr:uid="{00000000-0005-0000-0000-0000ED150000}"/>
    <cellStyle name="Normal 4 4 5 7" xfId="4769" xr:uid="{00000000-0005-0000-0000-0000EE150000}"/>
    <cellStyle name="Normal 4 4 6" xfId="854" xr:uid="{00000000-0005-0000-0000-0000EF150000}"/>
    <cellStyle name="Normal 4 4 6 2" xfId="3089" xr:uid="{00000000-0005-0000-0000-0000F0150000}"/>
    <cellStyle name="Normal 4 4 6 2 2" xfId="7312" xr:uid="{00000000-0005-0000-0000-0000F1150000}"/>
    <cellStyle name="Normal 4 4 6 3" xfId="5167" xr:uid="{00000000-0005-0000-0000-0000F2150000}"/>
    <cellStyle name="Normal 4 4 7" xfId="1272" xr:uid="{00000000-0005-0000-0000-0000F3150000}"/>
    <cellStyle name="Normal 4 4 7 2" xfId="3502" xr:uid="{00000000-0005-0000-0000-0000F4150000}"/>
    <cellStyle name="Normal 4 4 7 2 2" xfId="7725" xr:uid="{00000000-0005-0000-0000-0000F5150000}"/>
    <cellStyle name="Normal 4 4 7 3" xfId="5580" xr:uid="{00000000-0005-0000-0000-0000F6150000}"/>
    <cellStyle name="Normal 4 4 8" xfId="1685" xr:uid="{00000000-0005-0000-0000-0000F7150000}"/>
    <cellStyle name="Normal 4 4 8 2" xfId="3915" xr:uid="{00000000-0005-0000-0000-0000F8150000}"/>
    <cellStyle name="Normal 4 4 8 2 2" xfId="8138" xr:uid="{00000000-0005-0000-0000-0000F9150000}"/>
    <cellStyle name="Normal 4 4 8 3" xfId="5993" xr:uid="{00000000-0005-0000-0000-0000FA150000}"/>
    <cellStyle name="Normal 4 4 9" xfId="2099" xr:uid="{00000000-0005-0000-0000-0000FB150000}"/>
    <cellStyle name="Normal 4 4 9 2" xfId="4328" xr:uid="{00000000-0005-0000-0000-0000FC150000}"/>
    <cellStyle name="Normal 4 4 9 2 2" xfId="8551" xr:uid="{00000000-0005-0000-0000-0000FD150000}"/>
    <cellStyle name="Normal 4 4 9 3" xfId="6406" xr:uid="{00000000-0005-0000-0000-0000FE150000}"/>
    <cellStyle name="Normal 4 5" xfId="394" xr:uid="{00000000-0005-0000-0000-0000FF150000}"/>
    <cellStyle name="Normal 4 6" xfId="395" xr:uid="{00000000-0005-0000-0000-000000160000}"/>
    <cellStyle name="Normal 4 6 10" xfId="4770"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1" xr:uid="{00000000-0005-0000-0000-000007160000}"/>
    <cellStyle name="Normal 4 6 2 2 2 2 3" xfId="5186" xr:uid="{00000000-0005-0000-0000-000008160000}"/>
    <cellStyle name="Normal 4 6 2 2 2 3" xfId="1291" xr:uid="{00000000-0005-0000-0000-000009160000}"/>
    <cellStyle name="Normal 4 6 2 2 2 3 2" xfId="3521" xr:uid="{00000000-0005-0000-0000-00000A160000}"/>
    <cellStyle name="Normal 4 6 2 2 2 3 2 2" xfId="7744" xr:uid="{00000000-0005-0000-0000-00000B160000}"/>
    <cellStyle name="Normal 4 6 2 2 2 3 3" xfId="5599" xr:uid="{00000000-0005-0000-0000-00000C160000}"/>
    <cellStyle name="Normal 4 6 2 2 2 4" xfId="1704" xr:uid="{00000000-0005-0000-0000-00000D160000}"/>
    <cellStyle name="Normal 4 6 2 2 2 4 2" xfId="3934" xr:uid="{00000000-0005-0000-0000-00000E160000}"/>
    <cellStyle name="Normal 4 6 2 2 2 4 2 2" xfId="8157" xr:uid="{00000000-0005-0000-0000-00000F160000}"/>
    <cellStyle name="Normal 4 6 2 2 2 4 3" xfId="6012" xr:uid="{00000000-0005-0000-0000-000010160000}"/>
    <cellStyle name="Normal 4 6 2 2 2 5" xfId="2118" xr:uid="{00000000-0005-0000-0000-000011160000}"/>
    <cellStyle name="Normal 4 6 2 2 2 5 2" xfId="4347" xr:uid="{00000000-0005-0000-0000-000012160000}"/>
    <cellStyle name="Normal 4 6 2 2 2 5 2 2" xfId="8570" xr:uid="{00000000-0005-0000-0000-000013160000}"/>
    <cellStyle name="Normal 4 6 2 2 2 5 3" xfId="6425" xr:uid="{00000000-0005-0000-0000-000014160000}"/>
    <cellStyle name="Normal 4 6 2 2 2 6" xfId="2554" xr:uid="{00000000-0005-0000-0000-000015160000}"/>
    <cellStyle name="Normal 4 6 2 2 2 6 2" xfId="6838" xr:uid="{00000000-0005-0000-0000-000016160000}"/>
    <cellStyle name="Normal 4 6 2 2 2 7" xfId="4773" xr:uid="{00000000-0005-0000-0000-000017160000}"/>
    <cellStyle name="Normal 4 6 2 2 3" xfId="872" xr:uid="{00000000-0005-0000-0000-000018160000}"/>
    <cellStyle name="Normal 4 6 2 2 3 2" xfId="3107" xr:uid="{00000000-0005-0000-0000-000019160000}"/>
    <cellStyle name="Normal 4 6 2 2 3 2 2" xfId="7330" xr:uid="{00000000-0005-0000-0000-00001A160000}"/>
    <cellStyle name="Normal 4 6 2 2 3 3" xfId="5185" xr:uid="{00000000-0005-0000-0000-00001B160000}"/>
    <cellStyle name="Normal 4 6 2 2 4" xfId="1290" xr:uid="{00000000-0005-0000-0000-00001C160000}"/>
    <cellStyle name="Normal 4 6 2 2 4 2" xfId="3520" xr:uid="{00000000-0005-0000-0000-00001D160000}"/>
    <cellStyle name="Normal 4 6 2 2 4 2 2" xfId="7743" xr:uid="{00000000-0005-0000-0000-00001E160000}"/>
    <cellStyle name="Normal 4 6 2 2 4 3" xfId="5598" xr:uid="{00000000-0005-0000-0000-00001F160000}"/>
    <cellStyle name="Normal 4 6 2 2 5" xfId="1703" xr:uid="{00000000-0005-0000-0000-000020160000}"/>
    <cellStyle name="Normal 4 6 2 2 5 2" xfId="3933" xr:uid="{00000000-0005-0000-0000-000021160000}"/>
    <cellStyle name="Normal 4 6 2 2 5 2 2" xfId="8156" xr:uid="{00000000-0005-0000-0000-000022160000}"/>
    <cellStyle name="Normal 4 6 2 2 5 3" xfId="6011" xr:uid="{00000000-0005-0000-0000-000023160000}"/>
    <cellStyle name="Normal 4 6 2 2 6" xfId="2117" xr:uid="{00000000-0005-0000-0000-000024160000}"/>
    <cellStyle name="Normal 4 6 2 2 6 2" xfId="4346" xr:uid="{00000000-0005-0000-0000-000025160000}"/>
    <cellStyle name="Normal 4 6 2 2 6 2 2" xfId="8569" xr:uid="{00000000-0005-0000-0000-000026160000}"/>
    <cellStyle name="Normal 4 6 2 2 6 3" xfId="6424" xr:uid="{00000000-0005-0000-0000-000027160000}"/>
    <cellStyle name="Normal 4 6 2 2 7" xfId="2553" xr:uid="{00000000-0005-0000-0000-000028160000}"/>
    <cellStyle name="Normal 4 6 2 2 7 2" xfId="6837" xr:uid="{00000000-0005-0000-0000-000029160000}"/>
    <cellStyle name="Normal 4 6 2 2 8" xfId="4772"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2" xr:uid="{00000000-0005-0000-0000-00002E160000}"/>
    <cellStyle name="Normal 4 6 2 3 2 3" xfId="5187" xr:uid="{00000000-0005-0000-0000-00002F160000}"/>
    <cellStyle name="Normal 4 6 2 3 3" xfId="1292" xr:uid="{00000000-0005-0000-0000-000030160000}"/>
    <cellStyle name="Normal 4 6 2 3 3 2" xfId="3522" xr:uid="{00000000-0005-0000-0000-000031160000}"/>
    <cellStyle name="Normal 4 6 2 3 3 2 2" xfId="7745" xr:uid="{00000000-0005-0000-0000-000032160000}"/>
    <cellStyle name="Normal 4 6 2 3 3 3" xfId="5600" xr:uid="{00000000-0005-0000-0000-000033160000}"/>
    <cellStyle name="Normal 4 6 2 3 4" xfId="1705" xr:uid="{00000000-0005-0000-0000-000034160000}"/>
    <cellStyle name="Normal 4 6 2 3 4 2" xfId="3935" xr:uid="{00000000-0005-0000-0000-000035160000}"/>
    <cellStyle name="Normal 4 6 2 3 4 2 2" xfId="8158" xr:uid="{00000000-0005-0000-0000-000036160000}"/>
    <cellStyle name="Normal 4 6 2 3 4 3" xfId="6013" xr:uid="{00000000-0005-0000-0000-000037160000}"/>
    <cellStyle name="Normal 4 6 2 3 5" xfId="2119" xr:uid="{00000000-0005-0000-0000-000038160000}"/>
    <cellStyle name="Normal 4 6 2 3 5 2" xfId="4348" xr:uid="{00000000-0005-0000-0000-000039160000}"/>
    <cellStyle name="Normal 4 6 2 3 5 2 2" xfId="8571" xr:uid="{00000000-0005-0000-0000-00003A160000}"/>
    <cellStyle name="Normal 4 6 2 3 5 3" xfId="6426" xr:uid="{00000000-0005-0000-0000-00003B160000}"/>
    <cellStyle name="Normal 4 6 2 3 6" xfId="2555" xr:uid="{00000000-0005-0000-0000-00003C160000}"/>
    <cellStyle name="Normal 4 6 2 3 6 2" xfId="6839" xr:uid="{00000000-0005-0000-0000-00003D160000}"/>
    <cellStyle name="Normal 4 6 2 3 7" xfId="4774" xr:uid="{00000000-0005-0000-0000-00003E160000}"/>
    <cellStyle name="Normal 4 6 2 4" xfId="871" xr:uid="{00000000-0005-0000-0000-00003F160000}"/>
    <cellStyle name="Normal 4 6 2 4 2" xfId="3106" xr:uid="{00000000-0005-0000-0000-000040160000}"/>
    <cellStyle name="Normal 4 6 2 4 2 2" xfId="7329" xr:uid="{00000000-0005-0000-0000-000041160000}"/>
    <cellStyle name="Normal 4 6 2 4 3" xfId="5184" xr:uid="{00000000-0005-0000-0000-000042160000}"/>
    <cellStyle name="Normal 4 6 2 5" xfId="1289" xr:uid="{00000000-0005-0000-0000-000043160000}"/>
    <cellStyle name="Normal 4 6 2 5 2" xfId="3519" xr:uid="{00000000-0005-0000-0000-000044160000}"/>
    <cellStyle name="Normal 4 6 2 5 2 2" xfId="7742" xr:uid="{00000000-0005-0000-0000-000045160000}"/>
    <cellStyle name="Normal 4 6 2 5 3" xfId="5597" xr:uid="{00000000-0005-0000-0000-000046160000}"/>
    <cellStyle name="Normal 4 6 2 6" xfId="1702" xr:uid="{00000000-0005-0000-0000-000047160000}"/>
    <cellStyle name="Normal 4 6 2 6 2" xfId="3932" xr:uid="{00000000-0005-0000-0000-000048160000}"/>
    <cellStyle name="Normal 4 6 2 6 2 2" xfId="8155" xr:uid="{00000000-0005-0000-0000-000049160000}"/>
    <cellStyle name="Normal 4 6 2 6 3" xfId="6010" xr:uid="{00000000-0005-0000-0000-00004A160000}"/>
    <cellStyle name="Normal 4 6 2 7" xfId="2116" xr:uid="{00000000-0005-0000-0000-00004B160000}"/>
    <cellStyle name="Normal 4 6 2 7 2" xfId="4345" xr:uid="{00000000-0005-0000-0000-00004C160000}"/>
    <cellStyle name="Normal 4 6 2 7 2 2" xfId="8568" xr:uid="{00000000-0005-0000-0000-00004D160000}"/>
    <cellStyle name="Normal 4 6 2 7 3" xfId="6423" xr:uid="{00000000-0005-0000-0000-00004E160000}"/>
    <cellStyle name="Normal 4 6 2 8" xfId="2552" xr:uid="{00000000-0005-0000-0000-00004F160000}"/>
    <cellStyle name="Normal 4 6 2 8 2" xfId="6836" xr:uid="{00000000-0005-0000-0000-000050160000}"/>
    <cellStyle name="Normal 4 6 2 9" xfId="4771"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4" xr:uid="{00000000-0005-0000-0000-000056160000}"/>
    <cellStyle name="Normal 4 6 3 2 2 3" xfId="5189" xr:uid="{00000000-0005-0000-0000-000057160000}"/>
    <cellStyle name="Normal 4 6 3 2 3" xfId="1294" xr:uid="{00000000-0005-0000-0000-000058160000}"/>
    <cellStyle name="Normal 4 6 3 2 3 2" xfId="3524" xr:uid="{00000000-0005-0000-0000-000059160000}"/>
    <cellStyle name="Normal 4 6 3 2 3 2 2" xfId="7747" xr:uid="{00000000-0005-0000-0000-00005A160000}"/>
    <cellStyle name="Normal 4 6 3 2 3 3" xfId="5602" xr:uid="{00000000-0005-0000-0000-00005B160000}"/>
    <cellStyle name="Normal 4 6 3 2 4" xfId="1707" xr:uid="{00000000-0005-0000-0000-00005C160000}"/>
    <cellStyle name="Normal 4 6 3 2 4 2" xfId="3937" xr:uid="{00000000-0005-0000-0000-00005D160000}"/>
    <cellStyle name="Normal 4 6 3 2 4 2 2" xfId="8160" xr:uid="{00000000-0005-0000-0000-00005E160000}"/>
    <cellStyle name="Normal 4 6 3 2 4 3" xfId="6015" xr:uid="{00000000-0005-0000-0000-00005F160000}"/>
    <cellStyle name="Normal 4 6 3 2 5" xfId="2121" xr:uid="{00000000-0005-0000-0000-000060160000}"/>
    <cellStyle name="Normal 4 6 3 2 5 2" xfId="4350" xr:uid="{00000000-0005-0000-0000-000061160000}"/>
    <cellStyle name="Normal 4 6 3 2 5 2 2" xfId="8573" xr:uid="{00000000-0005-0000-0000-000062160000}"/>
    <cellStyle name="Normal 4 6 3 2 5 3" xfId="6428" xr:uid="{00000000-0005-0000-0000-000063160000}"/>
    <cellStyle name="Normal 4 6 3 2 6" xfId="2557" xr:uid="{00000000-0005-0000-0000-000064160000}"/>
    <cellStyle name="Normal 4 6 3 2 6 2" xfId="6841" xr:uid="{00000000-0005-0000-0000-000065160000}"/>
    <cellStyle name="Normal 4 6 3 2 7" xfId="4776" xr:uid="{00000000-0005-0000-0000-000066160000}"/>
    <cellStyle name="Normal 4 6 3 3" xfId="875" xr:uid="{00000000-0005-0000-0000-000067160000}"/>
    <cellStyle name="Normal 4 6 3 3 2" xfId="3110" xr:uid="{00000000-0005-0000-0000-000068160000}"/>
    <cellStyle name="Normal 4 6 3 3 2 2" xfId="7333" xr:uid="{00000000-0005-0000-0000-000069160000}"/>
    <cellStyle name="Normal 4 6 3 3 3" xfId="5188" xr:uid="{00000000-0005-0000-0000-00006A160000}"/>
    <cellStyle name="Normal 4 6 3 4" xfId="1293" xr:uid="{00000000-0005-0000-0000-00006B160000}"/>
    <cellStyle name="Normal 4 6 3 4 2" xfId="3523" xr:uid="{00000000-0005-0000-0000-00006C160000}"/>
    <cellStyle name="Normal 4 6 3 4 2 2" xfId="7746" xr:uid="{00000000-0005-0000-0000-00006D160000}"/>
    <cellStyle name="Normal 4 6 3 4 3" xfId="5601" xr:uid="{00000000-0005-0000-0000-00006E160000}"/>
    <cellStyle name="Normal 4 6 3 5" xfId="1706" xr:uid="{00000000-0005-0000-0000-00006F160000}"/>
    <cellStyle name="Normal 4 6 3 5 2" xfId="3936" xr:uid="{00000000-0005-0000-0000-000070160000}"/>
    <cellStyle name="Normal 4 6 3 5 2 2" xfId="8159" xr:uid="{00000000-0005-0000-0000-000071160000}"/>
    <cellStyle name="Normal 4 6 3 5 3" xfId="6014" xr:uid="{00000000-0005-0000-0000-000072160000}"/>
    <cellStyle name="Normal 4 6 3 6" xfId="2120" xr:uid="{00000000-0005-0000-0000-000073160000}"/>
    <cellStyle name="Normal 4 6 3 6 2" xfId="4349" xr:uid="{00000000-0005-0000-0000-000074160000}"/>
    <cellStyle name="Normal 4 6 3 6 2 2" xfId="8572" xr:uid="{00000000-0005-0000-0000-000075160000}"/>
    <cellStyle name="Normal 4 6 3 6 3" xfId="6427" xr:uid="{00000000-0005-0000-0000-000076160000}"/>
    <cellStyle name="Normal 4 6 3 7" xfId="2556" xr:uid="{00000000-0005-0000-0000-000077160000}"/>
    <cellStyle name="Normal 4 6 3 7 2" xfId="6840" xr:uid="{00000000-0005-0000-0000-000078160000}"/>
    <cellStyle name="Normal 4 6 3 8" xfId="4775"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5" xr:uid="{00000000-0005-0000-0000-00007D160000}"/>
    <cellStyle name="Normal 4 6 4 2 3" xfId="5190" xr:uid="{00000000-0005-0000-0000-00007E160000}"/>
    <cellStyle name="Normal 4 6 4 3" xfId="1295" xr:uid="{00000000-0005-0000-0000-00007F160000}"/>
    <cellStyle name="Normal 4 6 4 3 2" xfId="3525" xr:uid="{00000000-0005-0000-0000-000080160000}"/>
    <cellStyle name="Normal 4 6 4 3 2 2" xfId="7748" xr:uid="{00000000-0005-0000-0000-000081160000}"/>
    <cellStyle name="Normal 4 6 4 3 3" xfId="5603" xr:uid="{00000000-0005-0000-0000-000082160000}"/>
    <cellStyle name="Normal 4 6 4 4" xfId="1708" xr:uid="{00000000-0005-0000-0000-000083160000}"/>
    <cellStyle name="Normal 4 6 4 4 2" xfId="3938" xr:uid="{00000000-0005-0000-0000-000084160000}"/>
    <cellStyle name="Normal 4 6 4 4 2 2" xfId="8161" xr:uid="{00000000-0005-0000-0000-000085160000}"/>
    <cellStyle name="Normal 4 6 4 4 3" xfId="6016" xr:uid="{00000000-0005-0000-0000-000086160000}"/>
    <cellStyle name="Normal 4 6 4 5" xfId="2122" xr:uid="{00000000-0005-0000-0000-000087160000}"/>
    <cellStyle name="Normal 4 6 4 5 2" xfId="4351" xr:uid="{00000000-0005-0000-0000-000088160000}"/>
    <cellStyle name="Normal 4 6 4 5 2 2" xfId="8574" xr:uid="{00000000-0005-0000-0000-000089160000}"/>
    <cellStyle name="Normal 4 6 4 5 3" xfId="6429" xr:uid="{00000000-0005-0000-0000-00008A160000}"/>
    <cellStyle name="Normal 4 6 4 6" xfId="2558" xr:uid="{00000000-0005-0000-0000-00008B160000}"/>
    <cellStyle name="Normal 4 6 4 6 2" xfId="6842" xr:uid="{00000000-0005-0000-0000-00008C160000}"/>
    <cellStyle name="Normal 4 6 4 7" xfId="4777" xr:uid="{00000000-0005-0000-0000-00008D160000}"/>
    <cellStyle name="Normal 4 6 5" xfId="870" xr:uid="{00000000-0005-0000-0000-00008E160000}"/>
    <cellStyle name="Normal 4 6 5 2" xfId="3105" xr:uid="{00000000-0005-0000-0000-00008F160000}"/>
    <cellStyle name="Normal 4 6 5 2 2" xfId="7328" xr:uid="{00000000-0005-0000-0000-000090160000}"/>
    <cellStyle name="Normal 4 6 5 3" xfId="5183" xr:uid="{00000000-0005-0000-0000-000091160000}"/>
    <cellStyle name="Normal 4 6 6" xfId="1288" xr:uid="{00000000-0005-0000-0000-000092160000}"/>
    <cellStyle name="Normal 4 6 6 2" xfId="3518" xr:uid="{00000000-0005-0000-0000-000093160000}"/>
    <cellStyle name="Normal 4 6 6 2 2" xfId="7741" xr:uid="{00000000-0005-0000-0000-000094160000}"/>
    <cellStyle name="Normal 4 6 6 3" xfId="5596" xr:uid="{00000000-0005-0000-0000-000095160000}"/>
    <cellStyle name="Normal 4 6 7" xfId="1701" xr:uid="{00000000-0005-0000-0000-000096160000}"/>
    <cellStyle name="Normal 4 6 7 2" xfId="3931" xr:uid="{00000000-0005-0000-0000-000097160000}"/>
    <cellStyle name="Normal 4 6 7 2 2" xfId="8154" xr:uid="{00000000-0005-0000-0000-000098160000}"/>
    <cellStyle name="Normal 4 6 7 3" xfId="6009" xr:uid="{00000000-0005-0000-0000-000099160000}"/>
    <cellStyle name="Normal 4 6 8" xfId="2115" xr:uid="{00000000-0005-0000-0000-00009A160000}"/>
    <cellStyle name="Normal 4 6 8 2" xfId="4344" xr:uid="{00000000-0005-0000-0000-00009B160000}"/>
    <cellStyle name="Normal 4 6 8 2 2" xfId="8567" xr:uid="{00000000-0005-0000-0000-00009C160000}"/>
    <cellStyle name="Normal 4 6 8 3" xfId="6422" xr:uid="{00000000-0005-0000-0000-00009D160000}"/>
    <cellStyle name="Normal 4 6 9" xfId="2551" xr:uid="{00000000-0005-0000-0000-00009E160000}"/>
    <cellStyle name="Normal 4 6 9 2" xfId="6835"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7" xr:uid="{00000000-0005-0000-0000-0000A4160000}"/>
    <cellStyle name="Normal 4 7 2 2 3" xfId="5192" xr:uid="{00000000-0005-0000-0000-0000A5160000}"/>
    <cellStyle name="Normal 4 7 2 3" xfId="1297" xr:uid="{00000000-0005-0000-0000-0000A6160000}"/>
    <cellStyle name="Normal 4 7 2 3 2" xfId="3527" xr:uid="{00000000-0005-0000-0000-0000A7160000}"/>
    <cellStyle name="Normal 4 7 2 3 2 2" xfId="7750" xr:uid="{00000000-0005-0000-0000-0000A8160000}"/>
    <cellStyle name="Normal 4 7 2 3 3" xfId="5605" xr:uid="{00000000-0005-0000-0000-0000A9160000}"/>
    <cellStyle name="Normal 4 7 2 4" xfId="1710" xr:uid="{00000000-0005-0000-0000-0000AA160000}"/>
    <cellStyle name="Normal 4 7 2 4 2" xfId="3940" xr:uid="{00000000-0005-0000-0000-0000AB160000}"/>
    <cellStyle name="Normal 4 7 2 4 2 2" xfId="8163" xr:uid="{00000000-0005-0000-0000-0000AC160000}"/>
    <cellStyle name="Normal 4 7 2 4 3" xfId="6018" xr:uid="{00000000-0005-0000-0000-0000AD160000}"/>
    <cellStyle name="Normal 4 7 2 5" xfId="2124" xr:uid="{00000000-0005-0000-0000-0000AE160000}"/>
    <cellStyle name="Normal 4 7 2 5 2" xfId="4353" xr:uid="{00000000-0005-0000-0000-0000AF160000}"/>
    <cellStyle name="Normal 4 7 2 5 2 2" xfId="8576" xr:uid="{00000000-0005-0000-0000-0000B0160000}"/>
    <cellStyle name="Normal 4 7 2 5 3" xfId="6431" xr:uid="{00000000-0005-0000-0000-0000B1160000}"/>
    <cellStyle name="Normal 4 7 2 6" xfId="2560" xr:uid="{00000000-0005-0000-0000-0000B2160000}"/>
    <cellStyle name="Normal 4 7 2 6 2" xfId="6844" xr:uid="{00000000-0005-0000-0000-0000B3160000}"/>
    <cellStyle name="Normal 4 7 2 7" xfId="4779" xr:uid="{00000000-0005-0000-0000-0000B4160000}"/>
    <cellStyle name="Normal 4 7 3" xfId="878" xr:uid="{00000000-0005-0000-0000-0000B5160000}"/>
    <cellStyle name="Normal 4 7 3 2" xfId="3113" xr:uid="{00000000-0005-0000-0000-0000B6160000}"/>
    <cellStyle name="Normal 4 7 3 2 2" xfId="7336" xr:uid="{00000000-0005-0000-0000-0000B7160000}"/>
    <cellStyle name="Normal 4 7 3 3" xfId="5191" xr:uid="{00000000-0005-0000-0000-0000B8160000}"/>
    <cellStyle name="Normal 4 7 4" xfId="1296" xr:uid="{00000000-0005-0000-0000-0000B9160000}"/>
    <cellStyle name="Normal 4 7 4 2" xfId="3526" xr:uid="{00000000-0005-0000-0000-0000BA160000}"/>
    <cellStyle name="Normal 4 7 4 2 2" xfId="7749" xr:uid="{00000000-0005-0000-0000-0000BB160000}"/>
    <cellStyle name="Normal 4 7 4 3" xfId="5604" xr:uid="{00000000-0005-0000-0000-0000BC160000}"/>
    <cellStyle name="Normal 4 7 5" xfId="1709" xr:uid="{00000000-0005-0000-0000-0000BD160000}"/>
    <cellStyle name="Normal 4 7 5 2" xfId="3939" xr:uid="{00000000-0005-0000-0000-0000BE160000}"/>
    <cellStyle name="Normal 4 7 5 2 2" xfId="8162" xr:uid="{00000000-0005-0000-0000-0000BF160000}"/>
    <cellStyle name="Normal 4 7 5 3" xfId="6017" xr:uid="{00000000-0005-0000-0000-0000C0160000}"/>
    <cellStyle name="Normal 4 7 6" xfId="2123" xr:uid="{00000000-0005-0000-0000-0000C1160000}"/>
    <cellStyle name="Normal 4 7 6 2" xfId="4352" xr:uid="{00000000-0005-0000-0000-0000C2160000}"/>
    <cellStyle name="Normal 4 7 6 2 2" xfId="8575" xr:uid="{00000000-0005-0000-0000-0000C3160000}"/>
    <cellStyle name="Normal 4 7 6 3" xfId="6430" xr:uid="{00000000-0005-0000-0000-0000C4160000}"/>
    <cellStyle name="Normal 4 7 7" xfId="2559" xr:uid="{00000000-0005-0000-0000-0000C5160000}"/>
    <cellStyle name="Normal 4 7 7 2" xfId="6843" xr:uid="{00000000-0005-0000-0000-0000C6160000}"/>
    <cellStyle name="Normal 4 7 8" xfId="4778"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8" xr:uid="{00000000-0005-0000-0000-0000CB160000}"/>
    <cellStyle name="Normal 4 8 2 3" xfId="5193" xr:uid="{00000000-0005-0000-0000-0000CC160000}"/>
    <cellStyle name="Normal 4 8 3" xfId="1298" xr:uid="{00000000-0005-0000-0000-0000CD160000}"/>
    <cellStyle name="Normal 4 8 3 2" xfId="3528" xr:uid="{00000000-0005-0000-0000-0000CE160000}"/>
    <cellStyle name="Normal 4 8 3 2 2" xfId="7751" xr:uid="{00000000-0005-0000-0000-0000CF160000}"/>
    <cellStyle name="Normal 4 8 3 3" xfId="5606" xr:uid="{00000000-0005-0000-0000-0000D0160000}"/>
    <cellStyle name="Normal 4 8 4" xfId="1711" xr:uid="{00000000-0005-0000-0000-0000D1160000}"/>
    <cellStyle name="Normal 4 8 4 2" xfId="3941" xr:uid="{00000000-0005-0000-0000-0000D2160000}"/>
    <cellStyle name="Normal 4 8 4 2 2" xfId="8164" xr:uid="{00000000-0005-0000-0000-0000D3160000}"/>
    <cellStyle name="Normal 4 8 4 3" xfId="6019" xr:uid="{00000000-0005-0000-0000-0000D4160000}"/>
    <cellStyle name="Normal 4 8 5" xfId="2125" xr:uid="{00000000-0005-0000-0000-0000D5160000}"/>
    <cellStyle name="Normal 4 8 5 2" xfId="4354" xr:uid="{00000000-0005-0000-0000-0000D6160000}"/>
    <cellStyle name="Normal 4 8 5 2 2" xfId="8577" xr:uid="{00000000-0005-0000-0000-0000D7160000}"/>
    <cellStyle name="Normal 4 8 5 3" xfId="6432" xr:uid="{00000000-0005-0000-0000-0000D8160000}"/>
    <cellStyle name="Normal 4 8 6" xfId="2561" xr:uid="{00000000-0005-0000-0000-0000D9160000}"/>
    <cellStyle name="Normal 4 8 6 2" xfId="6845" xr:uid="{00000000-0005-0000-0000-0000DA160000}"/>
    <cellStyle name="Normal 4 8 7" xfId="4780" xr:uid="{00000000-0005-0000-0000-0000DB160000}"/>
    <cellStyle name="Normal 4 9" xfId="4717"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5" xr:uid="{00000000-0005-0000-0000-0000E0160000}"/>
    <cellStyle name="Normal 5 10 3" xfId="6020" xr:uid="{00000000-0005-0000-0000-0000E1160000}"/>
    <cellStyle name="Normal 5 11" xfId="2126" xr:uid="{00000000-0005-0000-0000-0000E2160000}"/>
    <cellStyle name="Normal 5 11 2" xfId="4355" xr:uid="{00000000-0005-0000-0000-0000E3160000}"/>
    <cellStyle name="Normal 5 11 2 2" xfId="8578" xr:uid="{00000000-0005-0000-0000-0000E4160000}"/>
    <cellStyle name="Normal 5 11 3" xfId="6433" xr:uid="{00000000-0005-0000-0000-0000E5160000}"/>
    <cellStyle name="Normal 5 12" xfId="2562" xr:uid="{00000000-0005-0000-0000-0000E6160000}"/>
    <cellStyle name="Normal 5 12 2" xfId="6846" xr:uid="{00000000-0005-0000-0000-0000E7160000}"/>
    <cellStyle name="Normal 5 13" xfId="4781"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79" xr:uid="{00000000-0005-0000-0000-0000EC160000}"/>
    <cellStyle name="Normal 5 2 10 3" xfId="6434" xr:uid="{00000000-0005-0000-0000-0000ED160000}"/>
    <cellStyle name="Normal 5 2 11" xfId="2563" xr:uid="{00000000-0005-0000-0000-0000EE160000}"/>
    <cellStyle name="Normal 5 2 11 2" xfId="6847" xr:uid="{00000000-0005-0000-0000-0000EF160000}"/>
    <cellStyle name="Normal 5 2 12" xfId="4782" xr:uid="{00000000-0005-0000-0000-0000F0160000}"/>
    <cellStyle name="Normal 5 2 2" xfId="408" xr:uid="{00000000-0005-0000-0000-0000F1160000}"/>
    <cellStyle name="Normal 5 2 2 10" xfId="2564" xr:uid="{00000000-0005-0000-0000-0000F2160000}"/>
    <cellStyle name="Normal 5 2 2 10 2" xfId="6848" xr:uid="{00000000-0005-0000-0000-0000F3160000}"/>
    <cellStyle name="Normal 5 2 2 11" xfId="4783" xr:uid="{00000000-0005-0000-0000-0000F4160000}"/>
    <cellStyle name="Normal 5 2 2 2" xfId="409" xr:uid="{00000000-0005-0000-0000-0000F5160000}"/>
    <cellStyle name="Normal 5 2 2 2 10" xfId="4784"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5" xr:uid="{00000000-0005-0000-0000-0000FC160000}"/>
    <cellStyle name="Normal 5 2 2 2 2 2 2 2 3" xfId="5200" xr:uid="{00000000-0005-0000-0000-0000FD160000}"/>
    <cellStyle name="Normal 5 2 2 2 2 2 2 3" xfId="1305" xr:uid="{00000000-0005-0000-0000-0000FE160000}"/>
    <cellStyle name="Normal 5 2 2 2 2 2 2 3 2" xfId="3535" xr:uid="{00000000-0005-0000-0000-0000FF160000}"/>
    <cellStyle name="Normal 5 2 2 2 2 2 2 3 2 2" xfId="7758" xr:uid="{00000000-0005-0000-0000-000000170000}"/>
    <cellStyle name="Normal 5 2 2 2 2 2 2 3 3" xfId="5613" xr:uid="{00000000-0005-0000-0000-000001170000}"/>
    <cellStyle name="Normal 5 2 2 2 2 2 2 4" xfId="1718" xr:uid="{00000000-0005-0000-0000-000002170000}"/>
    <cellStyle name="Normal 5 2 2 2 2 2 2 4 2" xfId="3948" xr:uid="{00000000-0005-0000-0000-000003170000}"/>
    <cellStyle name="Normal 5 2 2 2 2 2 2 4 2 2" xfId="8171" xr:uid="{00000000-0005-0000-0000-000004170000}"/>
    <cellStyle name="Normal 5 2 2 2 2 2 2 4 3" xfId="6026" xr:uid="{00000000-0005-0000-0000-000005170000}"/>
    <cellStyle name="Normal 5 2 2 2 2 2 2 5" xfId="2132" xr:uid="{00000000-0005-0000-0000-000006170000}"/>
    <cellStyle name="Normal 5 2 2 2 2 2 2 5 2" xfId="4361" xr:uid="{00000000-0005-0000-0000-000007170000}"/>
    <cellStyle name="Normal 5 2 2 2 2 2 2 5 2 2" xfId="8584" xr:uid="{00000000-0005-0000-0000-000008170000}"/>
    <cellStyle name="Normal 5 2 2 2 2 2 2 5 3" xfId="6439" xr:uid="{00000000-0005-0000-0000-000009170000}"/>
    <cellStyle name="Normal 5 2 2 2 2 2 2 6" xfId="2568" xr:uid="{00000000-0005-0000-0000-00000A170000}"/>
    <cellStyle name="Normal 5 2 2 2 2 2 2 6 2" xfId="6852" xr:uid="{00000000-0005-0000-0000-00000B170000}"/>
    <cellStyle name="Normal 5 2 2 2 2 2 2 7" xfId="4787" xr:uid="{00000000-0005-0000-0000-00000C170000}"/>
    <cellStyle name="Normal 5 2 2 2 2 2 3" xfId="886" xr:uid="{00000000-0005-0000-0000-00000D170000}"/>
    <cellStyle name="Normal 5 2 2 2 2 2 3 2" xfId="3121" xr:uid="{00000000-0005-0000-0000-00000E170000}"/>
    <cellStyle name="Normal 5 2 2 2 2 2 3 2 2" xfId="7344" xr:uid="{00000000-0005-0000-0000-00000F170000}"/>
    <cellStyle name="Normal 5 2 2 2 2 2 3 3" xfId="5199" xr:uid="{00000000-0005-0000-0000-000010170000}"/>
    <cellStyle name="Normal 5 2 2 2 2 2 4" xfId="1304" xr:uid="{00000000-0005-0000-0000-000011170000}"/>
    <cellStyle name="Normal 5 2 2 2 2 2 4 2" xfId="3534" xr:uid="{00000000-0005-0000-0000-000012170000}"/>
    <cellStyle name="Normal 5 2 2 2 2 2 4 2 2" xfId="7757" xr:uid="{00000000-0005-0000-0000-000013170000}"/>
    <cellStyle name="Normal 5 2 2 2 2 2 4 3" xfId="5612" xr:uid="{00000000-0005-0000-0000-000014170000}"/>
    <cellStyle name="Normal 5 2 2 2 2 2 5" xfId="1717" xr:uid="{00000000-0005-0000-0000-000015170000}"/>
    <cellStyle name="Normal 5 2 2 2 2 2 5 2" xfId="3947" xr:uid="{00000000-0005-0000-0000-000016170000}"/>
    <cellStyle name="Normal 5 2 2 2 2 2 5 2 2" xfId="8170" xr:uid="{00000000-0005-0000-0000-000017170000}"/>
    <cellStyle name="Normal 5 2 2 2 2 2 5 3" xfId="6025" xr:uid="{00000000-0005-0000-0000-000018170000}"/>
    <cellStyle name="Normal 5 2 2 2 2 2 6" xfId="2131" xr:uid="{00000000-0005-0000-0000-000019170000}"/>
    <cellStyle name="Normal 5 2 2 2 2 2 6 2" xfId="4360" xr:uid="{00000000-0005-0000-0000-00001A170000}"/>
    <cellStyle name="Normal 5 2 2 2 2 2 6 2 2" xfId="8583" xr:uid="{00000000-0005-0000-0000-00001B170000}"/>
    <cellStyle name="Normal 5 2 2 2 2 2 6 3" xfId="6438" xr:uid="{00000000-0005-0000-0000-00001C170000}"/>
    <cellStyle name="Normal 5 2 2 2 2 2 7" xfId="2567" xr:uid="{00000000-0005-0000-0000-00001D170000}"/>
    <cellStyle name="Normal 5 2 2 2 2 2 7 2" xfId="6851" xr:uid="{00000000-0005-0000-0000-00001E170000}"/>
    <cellStyle name="Normal 5 2 2 2 2 2 8" xfId="4786"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6" xr:uid="{00000000-0005-0000-0000-000023170000}"/>
    <cellStyle name="Normal 5 2 2 2 2 3 2 3" xfId="5201" xr:uid="{00000000-0005-0000-0000-000024170000}"/>
    <cellStyle name="Normal 5 2 2 2 2 3 3" xfId="1306" xr:uid="{00000000-0005-0000-0000-000025170000}"/>
    <cellStyle name="Normal 5 2 2 2 2 3 3 2" xfId="3536" xr:uid="{00000000-0005-0000-0000-000026170000}"/>
    <cellStyle name="Normal 5 2 2 2 2 3 3 2 2" xfId="7759" xr:uid="{00000000-0005-0000-0000-000027170000}"/>
    <cellStyle name="Normal 5 2 2 2 2 3 3 3" xfId="5614" xr:uid="{00000000-0005-0000-0000-000028170000}"/>
    <cellStyle name="Normal 5 2 2 2 2 3 4" xfId="1719" xr:uid="{00000000-0005-0000-0000-000029170000}"/>
    <cellStyle name="Normal 5 2 2 2 2 3 4 2" xfId="3949" xr:uid="{00000000-0005-0000-0000-00002A170000}"/>
    <cellStyle name="Normal 5 2 2 2 2 3 4 2 2" xfId="8172" xr:uid="{00000000-0005-0000-0000-00002B170000}"/>
    <cellStyle name="Normal 5 2 2 2 2 3 4 3" xfId="6027" xr:uid="{00000000-0005-0000-0000-00002C170000}"/>
    <cellStyle name="Normal 5 2 2 2 2 3 5" xfId="2133" xr:uid="{00000000-0005-0000-0000-00002D170000}"/>
    <cellStyle name="Normal 5 2 2 2 2 3 5 2" xfId="4362" xr:uid="{00000000-0005-0000-0000-00002E170000}"/>
    <cellStyle name="Normal 5 2 2 2 2 3 5 2 2" xfId="8585" xr:uid="{00000000-0005-0000-0000-00002F170000}"/>
    <cellStyle name="Normal 5 2 2 2 2 3 5 3" xfId="6440" xr:uid="{00000000-0005-0000-0000-000030170000}"/>
    <cellStyle name="Normal 5 2 2 2 2 3 6" xfId="2569" xr:uid="{00000000-0005-0000-0000-000031170000}"/>
    <cellStyle name="Normal 5 2 2 2 2 3 6 2" xfId="6853" xr:uid="{00000000-0005-0000-0000-000032170000}"/>
    <cellStyle name="Normal 5 2 2 2 2 3 7" xfId="4788" xr:uid="{00000000-0005-0000-0000-000033170000}"/>
    <cellStyle name="Normal 5 2 2 2 2 4" xfId="885" xr:uid="{00000000-0005-0000-0000-000034170000}"/>
    <cellStyle name="Normal 5 2 2 2 2 4 2" xfId="3120" xr:uid="{00000000-0005-0000-0000-000035170000}"/>
    <cellStyle name="Normal 5 2 2 2 2 4 2 2" xfId="7343" xr:uid="{00000000-0005-0000-0000-000036170000}"/>
    <cellStyle name="Normal 5 2 2 2 2 4 3" xfId="5198" xr:uid="{00000000-0005-0000-0000-000037170000}"/>
    <cellStyle name="Normal 5 2 2 2 2 5" xfId="1303" xr:uid="{00000000-0005-0000-0000-000038170000}"/>
    <cellStyle name="Normal 5 2 2 2 2 5 2" xfId="3533" xr:uid="{00000000-0005-0000-0000-000039170000}"/>
    <cellStyle name="Normal 5 2 2 2 2 5 2 2" xfId="7756" xr:uid="{00000000-0005-0000-0000-00003A170000}"/>
    <cellStyle name="Normal 5 2 2 2 2 5 3" xfId="5611" xr:uid="{00000000-0005-0000-0000-00003B170000}"/>
    <cellStyle name="Normal 5 2 2 2 2 6" xfId="1716" xr:uid="{00000000-0005-0000-0000-00003C170000}"/>
    <cellStyle name="Normal 5 2 2 2 2 6 2" xfId="3946" xr:uid="{00000000-0005-0000-0000-00003D170000}"/>
    <cellStyle name="Normal 5 2 2 2 2 6 2 2" xfId="8169" xr:uid="{00000000-0005-0000-0000-00003E170000}"/>
    <cellStyle name="Normal 5 2 2 2 2 6 3" xfId="6024" xr:uid="{00000000-0005-0000-0000-00003F170000}"/>
    <cellStyle name="Normal 5 2 2 2 2 7" xfId="2130" xr:uid="{00000000-0005-0000-0000-000040170000}"/>
    <cellStyle name="Normal 5 2 2 2 2 7 2" xfId="4359" xr:uid="{00000000-0005-0000-0000-000041170000}"/>
    <cellStyle name="Normal 5 2 2 2 2 7 2 2" xfId="8582" xr:uid="{00000000-0005-0000-0000-000042170000}"/>
    <cellStyle name="Normal 5 2 2 2 2 7 3" xfId="6437" xr:uid="{00000000-0005-0000-0000-000043170000}"/>
    <cellStyle name="Normal 5 2 2 2 2 8" xfId="2566" xr:uid="{00000000-0005-0000-0000-000044170000}"/>
    <cellStyle name="Normal 5 2 2 2 2 8 2" xfId="6850" xr:uid="{00000000-0005-0000-0000-000045170000}"/>
    <cellStyle name="Normal 5 2 2 2 2 9" xfId="4785"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8" xr:uid="{00000000-0005-0000-0000-00004B170000}"/>
    <cellStyle name="Normal 5 2 2 2 3 2 2 3" xfId="5203" xr:uid="{00000000-0005-0000-0000-00004C170000}"/>
    <cellStyle name="Normal 5 2 2 2 3 2 3" xfId="1308" xr:uid="{00000000-0005-0000-0000-00004D170000}"/>
    <cellStyle name="Normal 5 2 2 2 3 2 3 2" xfId="3538" xr:uid="{00000000-0005-0000-0000-00004E170000}"/>
    <cellStyle name="Normal 5 2 2 2 3 2 3 2 2" xfId="7761" xr:uid="{00000000-0005-0000-0000-00004F170000}"/>
    <cellStyle name="Normal 5 2 2 2 3 2 3 3" xfId="5616" xr:uid="{00000000-0005-0000-0000-000050170000}"/>
    <cellStyle name="Normal 5 2 2 2 3 2 4" xfId="1721" xr:uid="{00000000-0005-0000-0000-000051170000}"/>
    <cellStyle name="Normal 5 2 2 2 3 2 4 2" xfId="3951" xr:uid="{00000000-0005-0000-0000-000052170000}"/>
    <cellStyle name="Normal 5 2 2 2 3 2 4 2 2" xfId="8174" xr:uid="{00000000-0005-0000-0000-000053170000}"/>
    <cellStyle name="Normal 5 2 2 2 3 2 4 3" xfId="6029" xr:uid="{00000000-0005-0000-0000-000054170000}"/>
    <cellStyle name="Normal 5 2 2 2 3 2 5" xfId="2135" xr:uid="{00000000-0005-0000-0000-000055170000}"/>
    <cellStyle name="Normal 5 2 2 2 3 2 5 2" xfId="4364" xr:uid="{00000000-0005-0000-0000-000056170000}"/>
    <cellStyle name="Normal 5 2 2 2 3 2 5 2 2" xfId="8587" xr:uid="{00000000-0005-0000-0000-000057170000}"/>
    <cellStyle name="Normal 5 2 2 2 3 2 5 3" xfId="6442" xr:uid="{00000000-0005-0000-0000-000058170000}"/>
    <cellStyle name="Normal 5 2 2 2 3 2 6" xfId="2571" xr:uid="{00000000-0005-0000-0000-000059170000}"/>
    <cellStyle name="Normal 5 2 2 2 3 2 6 2" xfId="6855" xr:uid="{00000000-0005-0000-0000-00005A170000}"/>
    <cellStyle name="Normal 5 2 2 2 3 2 7" xfId="4790" xr:uid="{00000000-0005-0000-0000-00005B170000}"/>
    <cellStyle name="Normal 5 2 2 2 3 3" xfId="889" xr:uid="{00000000-0005-0000-0000-00005C170000}"/>
    <cellStyle name="Normal 5 2 2 2 3 3 2" xfId="3124" xr:uid="{00000000-0005-0000-0000-00005D170000}"/>
    <cellStyle name="Normal 5 2 2 2 3 3 2 2" xfId="7347" xr:uid="{00000000-0005-0000-0000-00005E170000}"/>
    <cellStyle name="Normal 5 2 2 2 3 3 3" xfId="5202" xr:uid="{00000000-0005-0000-0000-00005F170000}"/>
    <cellStyle name="Normal 5 2 2 2 3 4" xfId="1307" xr:uid="{00000000-0005-0000-0000-000060170000}"/>
    <cellStyle name="Normal 5 2 2 2 3 4 2" xfId="3537" xr:uid="{00000000-0005-0000-0000-000061170000}"/>
    <cellStyle name="Normal 5 2 2 2 3 4 2 2" xfId="7760" xr:uid="{00000000-0005-0000-0000-000062170000}"/>
    <cellStyle name="Normal 5 2 2 2 3 4 3" xfId="5615" xr:uid="{00000000-0005-0000-0000-000063170000}"/>
    <cellStyle name="Normal 5 2 2 2 3 5" xfId="1720" xr:uid="{00000000-0005-0000-0000-000064170000}"/>
    <cellStyle name="Normal 5 2 2 2 3 5 2" xfId="3950" xr:uid="{00000000-0005-0000-0000-000065170000}"/>
    <cellStyle name="Normal 5 2 2 2 3 5 2 2" xfId="8173" xr:uid="{00000000-0005-0000-0000-000066170000}"/>
    <cellStyle name="Normal 5 2 2 2 3 5 3" xfId="6028" xr:uid="{00000000-0005-0000-0000-000067170000}"/>
    <cellStyle name="Normal 5 2 2 2 3 6" xfId="2134" xr:uid="{00000000-0005-0000-0000-000068170000}"/>
    <cellStyle name="Normal 5 2 2 2 3 6 2" xfId="4363" xr:uid="{00000000-0005-0000-0000-000069170000}"/>
    <cellStyle name="Normal 5 2 2 2 3 6 2 2" xfId="8586" xr:uid="{00000000-0005-0000-0000-00006A170000}"/>
    <cellStyle name="Normal 5 2 2 2 3 6 3" xfId="6441" xr:uid="{00000000-0005-0000-0000-00006B170000}"/>
    <cellStyle name="Normal 5 2 2 2 3 7" xfId="2570" xr:uid="{00000000-0005-0000-0000-00006C170000}"/>
    <cellStyle name="Normal 5 2 2 2 3 7 2" xfId="6854" xr:uid="{00000000-0005-0000-0000-00006D170000}"/>
    <cellStyle name="Normal 5 2 2 2 3 8" xfId="4789"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49" xr:uid="{00000000-0005-0000-0000-000072170000}"/>
    <cellStyle name="Normal 5 2 2 2 4 2 3" xfId="5204" xr:uid="{00000000-0005-0000-0000-000073170000}"/>
    <cellStyle name="Normal 5 2 2 2 4 3" xfId="1309" xr:uid="{00000000-0005-0000-0000-000074170000}"/>
    <cellStyle name="Normal 5 2 2 2 4 3 2" xfId="3539" xr:uid="{00000000-0005-0000-0000-000075170000}"/>
    <cellStyle name="Normal 5 2 2 2 4 3 2 2" xfId="7762" xr:uid="{00000000-0005-0000-0000-000076170000}"/>
    <cellStyle name="Normal 5 2 2 2 4 3 3" xfId="5617" xr:uid="{00000000-0005-0000-0000-000077170000}"/>
    <cellStyle name="Normal 5 2 2 2 4 4" xfId="1722" xr:uid="{00000000-0005-0000-0000-000078170000}"/>
    <cellStyle name="Normal 5 2 2 2 4 4 2" xfId="3952" xr:uid="{00000000-0005-0000-0000-000079170000}"/>
    <cellStyle name="Normal 5 2 2 2 4 4 2 2" xfId="8175" xr:uid="{00000000-0005-0000-0000-00007A170000}"/>
    <cellStyle name="Normal 5 2 2 2 4 4 3" xfId="6030" xr:uid="{00000000-0005-0000-0000-00007B170000}"/>
    <cellStyle name="Normal 5 2 2 2 4 5" xfId="2136" xr:uid="{00000000-0005-0000-0000-00007C170000}"/>
    <cellStyle name="Normal 5 2 2 2 4 5 2" xfId="4365" xr:uid="{00000000-0005-0000-0000-00007D170000}"/>
    <cellStyle name="Normal 5 2 2 2 4 5 2 2" xfId="8588" xr:uid="{00000000-0005-0000-0000-00007E170000}"/>
    <cellStyle name="Normal 5 2 2 2 4 5 3" xfId="6443" xr:uid="{00000000-0005-0000-0000-00007F170000}"/>
    <cellStyle name="Normal 5 2 2 2 4 6" xfId="2572" xr:uid="{00000000-0005-0000-0000-000080170000}"/>
    <cellStyle name="Normal 5 2 2 2 4 6 2" xfId="6856" xr:uid="{00000000-0005-0000-0000-000081170000}"/>
    <cellStyle name="Normal 5 2 2 2 4 7" xfId="4791" xr:uid="{00000000-0005-0000-0000-000082170000}"/>
    <cellStyle name="Normal 5 2 2 2 5" xfId="884" xr:uid="{00000000-0005-0000-0000-000083170000}"/>
    <cellStyle name="Normal 5 2 2 2 5 2" xfId="3119" xr:uid="{00000000-0005-0000-0000-000084170000}"/>
    <cellStyle name="Normal 5 2 2 2 5 2 2" xfId="7342" xr:uid="{00000000-0005-0000-0000-000085170000}"/>
    <cellStyle name="Normal 5 2 2 2 5 3" xfId="5197" xr:uid="{00000000-0005-0000-0000-000086170000}"/>
    <cellStyle name="Normal 5 2 2 2 6" xfId="1302" xr:uid="{00000000-0005-0000-0000-000087170000}"/>
    <cellStyle name="Normal 5 2 2 2 6 2" xfId="3532" xr:uid="{00000000-0005-0000-0000-000088170000}"/>
    <cellStyle name="Normal 5 2 2 2 6 2 2" xfId="7755" xr:uid="{00000000-0005-0000-0000-000089170000}"/>
    <cellStyle name="Normal 5 2 2 2 6 3" xfId="5610" xr:uid="{00000000-0005-0000-0000-00008A170000}"/>
    <cellStyle name="Normal 5 2 2 2 7" xfId="1715" xr:uid="{00000000-0005-0000-0000-00008B170000}"/>
    <cellStyle name="Normal 5 2 2 2 7 2" xfId="3945" xr:uid="{00000000-0005-0000-0000-00008C170000}"/>
    <cellStyle name="Normal 5 2 2 2 7 2 2" xfId="8168" xr:uid="{00000000-0005-0000-0000-00008D170000}"/>
    <cellStyle name="Normal 5 2 2 2 7 3" xfId="6023" xr:uid="{00000000-0005-0000-0000-00008E170000}"/>
    <cellStyle name="Normal 5 2 2 2 8" xfId="2129" xr:uid="{00000000-0005-0000-0000-00008F170000}"/>
    <cellStyle name="Normal 5 2 2 2 8 2" xfId="4358" xr:uid="{00000000-0005-0000-0000-000090170000}"/>
    <cellStyle name="Normal 5 2 2 2 8 2 2" xfId="8581" xr:uid="{00000000-0005-0000-0000-000091170000}"/>
    <cellStyle name="Normal 5 2 2 2 8 3" xfId="6436" xr:uid="{00000000-0005-0000-0000-000092170000}"/>
    <cellStyle name="Normal 5 2 2 2 9" xfId="2565" xr:uid="{00000000-0005-0000-0000-000093170000}"/>
    <cellStyle name="Normal 5 2 2 2 9 2" xfId="6849"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2" xr:uid="{00000000-0005-0000-0000-00009A170000}"/>
    <cellStyle name="Normal 5 2 2 3 2 2 2 3" xfId="5207" xr:uid="{00000000-0005-0000-0000-00009B170000}"/>
    <cellStyle name="Normal 5 2 2 3 2 2 3" xfId="1312" xr:uid="{00000000-0005-0000-0000-00009C170000}"/>
    <cellStyle name="Normal 5 2 2 3 2 2 3 2" xfId="3542" xr:uid="{00000000-0005-0000-0000-00009D170000}"/>
    <cellStyle name="Normal 5 2 2 3 2 2 3 2 2" xfId="7765" xr:uid="{00000000-0005-0000-0000-00009E170000}"/>
    <cellStyle name="Normal 5 2 2 3 2 2 3 3" xfId="5620" xr:uid="{00000000-0005-0000-0000-00009F170000}"/>
    <cellStyle name="Normal 5 2 2 3 2 2 4" xfId="1725" xr:uid="{00000000-0005-0000-0000-0000A0170000}"/>
    <cellStyle name="Normal 5 2 2 3 2 2 4 2" xfId="3955" xr:uid="{00000000-0005-0000-0000-0000A1170000}"/>
    <cellStyle name="Normal 5 2 2 3 2 2 4 2 2" xfId="8178" xr:uid="{00000000-0005-0000-0000-0000A2170000}"/>
    <cellStyle name="Normal 5 2 2 3 2 2 4 3" xfId="6033" xr:uid="{00000000-0005-0000-0000-0000A3170000}"/>
    <cellStyle name="Normal 5 2 2 3 2 2 5" xfId="2139" xr:uid="{00000000-0005-0000-0000-0000A4170000}"/>
    <cellStyle name="Normal 5 2 2 3 2 2 5 2" xfId="4368" xr:uid="{00000000-0005-0000-0000-0000A5170000}"/>
    <cellStyle name="Normal 5 2 2 3 2 2 5 2 2" xfId="8591" xr:uid="{00000000-0005-0000-0000-0000A6170000}"/>
    <cellStyle name="Normal 5 2 2 3 2 2 5 3" xfId="6446" xr:uid="{00000000-0005-0000-0000-0000A7170000}"/>
    <cellStyle name="Normal 5 2 2 3 2 2 6" xfId="2575" xr:uid="{00000000-0005-0000-0000-0000A8170000}"/>
    <cellStyle name="Normal 5 2 2 3 2 2 6 2" xfId="6859" xr:uid="{00000000-0005-0000-0000-0000A9170000}"/>
    <cellStyle name="Normal 5 2 2 3 2 2 7" xfId="4794" xr:uid="{00000000-0005-0000-0000-0000AA170000}"/>
    <cellStyle name="Normal 5 2 2 3 2 3" xfId="893" xr:uid="{00000000-0005-0000-0000-0000AB170000}"/>
    <cellStyle name="Normal 5 2 2 3 2 3 2" xfId="3128" xr:uid="{00000000-0005-0000-0000-0000AC170000}"/>
    <cellStyle name="Normal 5 2 2 3 2 3 2 2" xfId="7351" xr:uid="{00000000-0005-0000-0000-0000AD170000}"/>
    <cellStyle name="Normal 5 2 2 3 2 3 3" xfId="5206" xr:uid="{00000000-0005-0000-0000-0000AE170000}"/>
    <cellStyle name="Normal 5 2 2 3 2 4" xfId="1311" xr:uid="{00000000-0005-0000-0000-0000AF170000}"/>
    <cellStyle name="Normal 5 2 2 3 2 4 2" xfId="3541" xr:uid="{00000000-0005-0000-0000-0000B0170000}"/>
    <cellStyle name="Normal 5 2 2 3 2 4 2 2" xfId="7764" xr:uid="{00000000-0005-0000-0000-0000B1170000}"/>
    <cellStyle name="Normal 5 2 2 3 2 4 3" xfId="5619" xr:uid="{00000000-0005-0000-0000-0000B2170000}"/>
    <cellStyle name="Normal 5 2 2 3 2 5" xfId="1724" xr:uid="{00000000-0005-0000-0000-0000B3170000}"/>
    <cellStyle name="Normal 5 2 2 3 2 5 2" xfId="3954" xr:uid="{00000000-0005-0000-0000-0000B4170000}"/>
    <cellStyle name="Normal 5 2 2 3 2 5 2 2" xfId="8177" xr:uid="{00000000-0005-0000-0000-0000B5170000}"/>
    <cellStyle name="Normal 5 2 2 3 2 5 3" xfId="6032" xr:uid="{00000000-0005-0000-0000-0000B6170000}"/>
    <cellStyle name="Normal 5 2 2 3 2 6" xfId="2138" xr:uid="{00000000-0005-0000-0000-0000B7170000}"/>
    <cellStyle name="Normal 5 2 2 3 2 6 2" xfId="4367" xr:uid="{00000000-0005-0000-0000-0000B8170000}"/>
    <cellStyle name="Normal 5 2 2 3 2 6 2 2" xfId="8590" xr:uid="{00000000-0005-0000-0000-0000B9170000}"/>
    <cellStyle name="Normal 5 2 2 3 2 6 3" xfId="6445" xr:uid="{00000000-0005-0000-0000-0000BA170000}"/>
    <cellStyle name="Normal 5 2 2 3 2 7" xfId="2574" xr:uid="{00000000-0005-0000-0000-0000BB170000}"/>
    <cellStyle name="Normal 5 2 2 3 2 7 2" xfId="6858" xr:uid="{00000000-0005-0000-0000-0000BC170000}"/>
    <cellStyle name="Normal 5 2 2 3 2 8" xfId="4793"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3" xr:uid="{00000000-0005-0000-0000-0000C1170000}"/>
    <cellStyle name="Normal 5 2 2 3 3 2 3" xfId="5208" xr:uid="{00000000-0005-0000-0000-0000C2170000}"/>
    <cellStyle name="Normal 5 2 2 3 3 3" xfId="1313" xr:uid="{00000000-0005-0000-0000-0000C3170000}"/>
    <cellStyle name="Normal 5 2 2 3 3 3 2" xfId="3543" xr:uid="{00000000-0005-0000-0000-0000C4170000}"/>
    <cellStyle name="Normal 5 2 2 3 3 3 2 2" xfId="7766" xr:uid="{00000000-0005-0000-0000-0000C5170000}"/>
    <cellStyle name="Normal 5 2 2 3 3 3 3" xfId="5621" xr:uid="{00000000-0005-0000-0000-0000C6170000}"/>
    <cellStyle name="Normal 5 2 2 3 3 4" xfId="1726" xr:uid="{00000000-0005-0000-0000-0000C7170000}"/>
    <cellStyle name="Normal 5 2 2 3 3 4 2" xfId="3956" xr:uid="{00000000-0005-0000-0000-0000C8170000}"/>
    <cellStyle name="Normal 5 2 2 3 3 4 2 2" xfId="8179" xr:uid="{00000000-0005-0000-0000-0000C9170000}"/>
    <cellStyle name="Normal 5 2 2 3 3 4 3" xfId="6034" xr:uid="{00000000-0005-0000-0000-0000CA170000}"/>
    <cellStyle name="Normal 5 2 2 3 3 5" xfId="2140" xr:uid="{00000000-0005-0000-0000-0000CB170000}"/>
    <cellStyle name="Normal 5 2 2 3 3 5 2" xfId="4369" xr:uid="{00000000-0005-0000-0000-0000CC170000}"/>
    <cellStyle name="Normal 5 2 2 3 3 5 2 2" xfId="8592" xr:uid="{00000000-0005-0000-0000-0000CD170000}"/>
    <cellStyle name="Normal 5 2 2 3 3 5 3" xfId="6447" xr:uid="{00000000-0005-0000-0000-0000CE170000}"/>
    <cellStyle name="Normal 5 2 2 3 3 6" xfId="2576" xr:uid="{00000000-0005-0000-0000-0000CF170000}"/>
    <cellStyle name="Normal 5 2 2 3 3 6 2" xfId="6860" xr:uid="{00000000-0005-0000-0000-0000D0170000}"/>
    <cellStyle name="Normal 5 2 2 3 3 7" xfId="4795" xr:uid="{00000000-0005-0000-0000-0000D1170000}"/>
    <cellStyle name="Normal 5 2 2 3 4" xfId="892" xr:uid="{00000000-0005-0000-0000-0000D2170000}"/>
    <cellStyle name="Normal 5 2 2 3 4 2" xfId="3127" xr:uid="{00000000-0005-0000-0000-0000D3170000}"/>
    <cellStyle name="Normal 5 2 2 3 4 2 2" xfId="7350" xr:uid="{00000000-0005-0000-0000-0000D4170000}"/>
    <cellStyle name="Normal 5 2 2 3 4 3" xfId="5205" xr:uid="{00000000-0005-0000-0000-0000D5170000}"/>
    <cellStyle name="Normal 5 2 2 3 5" xfId="1310" xr:uid="{00000000-0005-0000-0000-0000D6170000}"/>
    <cellStyle name="Normal 5 2 2 3 5 2" xfId="3540" xr:uid="{00000000-0005-0000-0000-0000D7170000}"/>
    <cellStyle name="Normal 5 2 2 3 5 2 2" xfId="7763" xr:uid="{00000000-0005-0000-0000-0000D8170000}"/>
    <cellStyle name="Normal 5 2 2 3 5 3" xfId="5618" xr:uid="{00000000-0005-0000-0000-0000D9170000}"/>
    <cellStyle name="Normal 5 2 2 3 6" xfId="1723" xr:uid="{00000000-0005-0000-0000-0000DA170000}"/>
    <cellStyle name="Normal 5 2 2 3 6 2" xfId="3953" xr:uid="{00000000-0005-0000-0000-0000DB170000}"/>
    <cellStyle name="Normal 5 2 2 3 6 2 2" xfId="8176" xr:uid="{00000000-0005-0000-0000-0000DC170000}"/>
    <cellStyle name="Normal 5 2 2 3 6 3" xfId="6031" xr:uid="{00000000-0005-0000-0000-0000DD170000}"/>
    <cellStyle name="Normal 5 2 2 3 7" xfId="2137" xr:uid="{00000000-0005-0000-0000-0000DE170000}"/>
    <cellStyle name="Normal 5 2 2 3 7 2" xfId="4366" xr:uid="{00000000-0005-0000-0000-0000DF170000}"/>
    <cellStyle name="Normal 5 2 2 3 7 2 2" xfId="8589" xr:uid="{00000000-0005-0000-0000-0000E0170000}"/>
    <cellStyle name="Normal 5 2 2 3 7 3" xfId="6444" xr:uid="{00000000-0005-0000-0000-0000E1170000}"/>
    <cellStyle name="Normal 5 2 2 3 8" xfId="2573" xr:uid="{00000000-0005-0000-0000-0000E2170000}"/>
    <cellStyle name="Normal 5 2 2 3 8 2" xfId="6857" xr:uid="{00000000-0005-0000-0000-0000E3170000}"/>
    <cellStyle name="Normal 5 2 2 3 9" xfId="4792"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5" xr:uid="{00000000-0005-0000-0000-0000E9170000}"/>
    <cellStyle name="Normal 5 2 2 4 2 2 3" xfId="5210" xr:uid="{00000000-0005-0000-0000-0000EA170000}"/>
    <cellStyle name="Normal 5 2 2 4 2 3" xfId="1315" xr:uid="{00000000-0005-0000-0000-0000EB170000}"/>
    <cellStyle name="Normal 5 2 2 4 2 3 2" xfId="3545" xr:uid="{00000000-0005-0000-0000-0000EC170000}"/>
    <cellStyle name="Normal 5 2 2 4 2 3 2 2" xfId="7768" xr:uid="{00000000-0005-0000-0000-0000ED170000}"/>
    <cellStyle name="Normal 5 2 2 4 2 3 3" xfId="5623" xr:uid="{00000000-0005-0000-0000-0000EE170000}"/>
    <cellStyle name="Normal 5 2 2 4 2 4" xfId="1728" xr:uid="{00000000-0005-0000-0000-0000EF170000}"/>
    <cellStyle name="Normal 5 2 2 4 2 4 2" xfId="3958" xr:uid="{00000000-0005-0000-0000-0000F0170000}"/>
    <cellStyle name="Normal 5 2 2 4 2 4 2 2" xfId="8181" xr:uid="{00000000-0005-0000-0000-0000F1170000}"/>
    <cellStyle name="Normal 5 2 2 4 2 4 3" xfId="6036" xr:uid="{00000000-0005-0000-0000-0000F2170000}"/>
    <cellStyle name="Normal 5 2 2 4 2 5" xfId="2142" xr:uid="{00000000-0005-0000-0000-0000F3170000}"/>
    <cellStyle name="Normal 5 2 2 4 2 5 2" xfId="4371" xr:uid="{00000000-0005-0000-0000-0000F4170000}"/>
    <cellStyle name="Normal 5 2 2 4 2 5 2 2" xfId="8594" xr:uid="{00000000-0005-0000-0000-0000F5170000}"/>
    <cellStyle name="Normal 5 2 2 4 2 5 3" xfId="6449" xr:uid="{00000000-0005-0000-0000-0000F6170000}"/>
    <cellStyle name="Normal 5 2 2 4 2 6" xfId="2578" xr:uid="{00000000-0005-0000-0000-0000F7170000}"/>
    <cellStyle name="Normal 5 2 2 4 2 6 2" xfId="6862" xr:uid="{00000000-0005-0000-0000-0000F8170000}"/>
    <cellStyle name="Normal 5 2 2 4 2 7" xfId="4797" xr:uid="{00000000-0005-0000-0000-0000F9170000}"/>
    <cellStyle name="Normal 5 2 2 4 3" xfId="896" xr:uid="{00000000-0005-0000-0000-0000FA170000}"/>
    <cellStyle name="Normal 5 2 2 4 3 2" xfId="3131" xr:uid="{00000000-0005-0000-0000-0000FB170000}"/>
    <cellStyle name="Normal 5 2 2 4 3 2 2" xfId="7354" xr:uid="{00000000-0005-0000-0000-0000FC170000}"/>
    <cellStyle name="Normal 5 2 2 4 3 3" xfId="5209" xr:uid="{00000000-0005-0000-0000-0000FD170000}"/>
    <cellStyle name="Normal 5 2 2 4 4" xfId="1314" xr:uid="{00000000-0005-0000-0000-0000FE170000}"/>
    <cellStyle name="Normal 5 2 2 4 4 2" xfId="3544" xr:uid="{00000000-0005-0000-0000-0000FF170000}"/>
    <cellStyle name="Normal 5 2 2 4 4 2 2" xfId="7767" xr:uid="{00000000-0005-0000-0000-000000180000}"/>
    <cellStyle name="Normal 5 2 2 4 4 3" xfId="5622" xr:uid="{00000000-0005-0000-0000-000001180000}"/>
    <cellStyle name="Normal 5 2 2 4 5" xfId="1727" xr:uid="{00000000-0005-0000-0000-000002180000}"/>
    <cellStyle name="Normal 5 2 2 4 5 2" xfId="3957" xr:uid="{00000000-0005-0000-0000-000003180000}"/>
    <cellStyle name="Normal 5 2 2 4 5 2 2" xfId="8180" xr:uid="{00000000-0005-0000-0000-000004180000}"/>
    <cellStyle name="Normal 5 2 2 4 5 3" xfId="6035" xr:uid="{00000000-0005-0000-0000-000005180000}"/>
    <cellStyle name="Normal 5 2 2 4 6" xfId="2141" xr:uid="{00000000-0005-0000-0000-000006180000}"/>
    <cellStyle name="Normal 5 2 2 4 6 2" xfId="4370" xr:uid="{00000000-0005-0000-0000-000007180000}"/>
    <cellStyle name="Normal 5 2 2 4 6 2 2" xfId="8593" xr:uid="{00000000-0005-0000-0000-000008180000}"/>
    <cellStyle name="Normal 5 2 2 4 6 3" xfId="6448" xr:uid="{00000000-0005-0000-0000-000009180000}"/>
    <cellStyle name="Normal 5 2 2 4 7" xfId="2577" xr:uid="{00000000-0005-0000-0000-00000A180000}"/>
    <cellStyle name="Normal 5 2 2 4 7 2" xfId="6861" xr:uid="{00000000-0005-0000-0000-00000B180000}"/>
    <cellStyle name="Normal 5 2 2 4 8" xfId="4796"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6" xr:uid="{00000000-0005-0000-0000-000010180000}"/>
    <cellStyle name="Normal 5 2 2 5 2 3" xfId="5211" xr:uid="{00000000-0005-0000-0000-000011180000}"/>
    <cellStyle name="Normal 5 2 2 5 3" xfId="1316" xr:uid="{00000000-0005-0000-0000-000012180000}"/>
    <cellStyle name="Normal 5 2 2 5 3 2" xfId="3546" xr:uid="{00000000-0005-0000-0000-000013180000}"/>
    <cellStyle name="Normal 5 2 2 5 3 2 2" xfId="7769" xr:uid="{00000000-0005-0000-0000-000014180000}"/>
    <cellStyle name="Normal 5 2 2 5 3 3" xfId="5624" xr:uid="{00000000-0005-0000-0000-000015180000}"/>
    <cellStyle name="Normal 5 2 2 5 4" xfId="1729" xr:uid="{00000000-0005-0000-0000-000016180000}"/>
    <cellStyle name="Normal 5 2 2 5 4 2" xfId="3959" xr:uid="{00000000-0005-0000-0000-000017180000}"/>
    <cellStyle name="Normal 5 2 2 5 4 2 2" xfId="8182" xr:uid="{00000000-0005-0000-0000-000018180000}"/>
    <cellStyle name="Normal 5 2 2 5 4 3" xfId="6037" xr:uid="{00000000-0005-0000-0000-000019180000}"/>
    <cellStyle name="Normal 5 2 2 5 5" xfId="2143" xr:uid="{00000000-0005-0000-0000-00001A180000}"/>
    <cellStyle name="Normal 5 2 2 5 5 2" xfId="4372" xr:uid="{00000000-0005-0000-0000-00001B180000}"/>
    <cellStyle name="Normal 5 2 2 5 5 2 2" xfId="8595" xr:uid="{00000000-0005-0000-0000-00001C180000}"/>
    <cellStyle name="Normal 5 2 2 5 5 3" xfId="6450" xr:uid="{00000000-0005-0000-0000-00001D180000}"/>
    <cellStyle name="Normal 5 2 2 5 6" xfId="2579" xr:uid="{00000000-0005-0000-0000-00001E180000}"/>
    <cellStyle name="Normal 5 2 2 5 6 2" xfId="6863" xr:uid="{00000000-0005-0000-0000-00001F180000}"/>
    <cellStyle name="Normal 5 2 2 5 7" xfId="4798" xr:uid="{00000000-0005-0000-0000-000020180000}"/>
    <cellStyle name="Normal 5 2 2 6" xfId="883" xr:uid="{00000000-0005-0000-0000-000021180000}"/>
    <cellStyle name="Normal 5 2 2 6 2" xfId="3118" xr:uid="{00000000-0005-0000-0000-000022180000}"/>
    <cellStyle name="Normal 5 2 2 6 2 2" xfId="7341" xr:uid="{00000000-0005-0000-0000-000023180000}"/>
    <cellStyle name="Normal 5 2 2 6 3" xfId="5196" xr:uid="{00000000-0005-0000-0000-000024180000}"/>
    <cellStyle name="Normal 5 2 2 7" xfId="1301" xr:uid="{00000000-0005-0000-0000-000025180000}"/>
    <cellStyle name="Normal 5 2 2 7 2" xfId="3531" xr:uid="{00000000-0005-0000-0000-000026180000}"/>
    <cellStyle name="Normal 5 2 2 7 2 2" xfId="7754" xr:uid="{00000000-0005-0000-0000-000027180000}"/>
    <cellStyle name="Normal 5 2 2 7 3" xfId="5609" xr:uid="{00000000-0005-0000-0000-000028180000}"/>
    <cellStyle name="Normal 5 2 2 8" xfId="1714" xr:uid="{00000000-0005-0000-0000-000029180000}"/>
    <cellStyle name="Normal 5 2 2 8 2" xfId="3944" xr:uid="{00000000-0005-0000-0000-00002A180000}"/>
    <cellStyle name="Normal 5 2 2 8 2 2" xfId="8167" xr:uid="{00000000-0005-0000-0000-00002B180000}"/>
    <cellStyle name="Normal 5 2 2 8 3" xfId="6022" xr:uid="{00000000-0005-0000-0000-00002C180000}"/>
    <cellStyle name="Normal 5 2 2 9" xfId="2128" xr:uid="{00000000-0005-0000-0000-00002D180000}"/>
    <cellStyle name="Normal 5 2 2 9 2" xfId="4357" xr:uid="{00000000-0005-0000-0000-00002E180000}"/>
    <cellStyle name="Normal 5 2 2 9 2 2" xfId="8580" xr:uid="{00000000-0005-0000-0000-00002F180000}"/>
    <cellStyle name="Normal 5 2 2 9 3" xfId="6435" xr:uid="{00000000-0005-0000-0000-000030180000}"/>
    <cellStyle name="Normal 5 2 3" xfId="424" xr:uid="{00000000-0005-0000-0000-000031180000}"/>
    <cellStyle name="Normal 5 2 3 10" xfId="4799"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0" xr:uid="{00000000-0005-0000-0000-000038180000}"/>
    <cellStyle name="Normal 5 2 3 2 2 2 2 3" xfId="5215" xr:uid="{00000000-0005-0000-0000-000039180000}"/>
    <cellStyle name="Normal 5 2 3 2 2 2 3" xfId="1320" xr:uid="{00000000-0005-0000-0000-00003A180000}"/>
    <cellStyle name="Normal 5 2 3 2 2 2 3 2" xfId="3550" xr:uid="{00000000-0005-0000-0000-00003B180000}"/>
    <cellStyle name="Normal 5 2 3 2 2 2 3 2 2" xfId="7773" xr:uid="{00000000-0005-0000-0000-00003C180000}"/>
    <cellStyle name="Normal 5 2 3 2 2 2 3 3" xfId="5628" xr:uid="{00000000-0005-0000-0000-00003D180000}"/>
    <cellStyle name="Normal 5 2 3 2 2 2 4" xfId="1733" xr:uid="{00000000-0005-0000-0000-00003E180000}"/>
    <cellStyle name="Normal 5 2 3 2 2 2 4 2" xfId="3963" xr:uid="{00000000-0005-0000-0000-00003F180000}"/>
    <cellStyle name="Normal 5 2 3 2 2 2 4 2 2" xfId="8186" xr:uid="{00000000-0005-0000-0000-000040180000}"/>
    <cellStyle name="Normal 5 2 3 2 2 2 4 3" xfId="6041" xr:uid="{00000000-0005-0000-0000-000041180000}"/>
    <cellStyle name="Normal 5 2 3 2 2 2 5" xfId="2147" xr:uid="{00000000-0005-0000-0000-000042180000}"/>
    <cellStyle name="Normal 5 2 3 2 2 2 5 2" xfId="4376" xr:uid="{00000000-0005-0000-0000-000043180000}"/>
    <cellStyle name="Normal 5 2 3 2 2 2 5 2 2" xfId="8599" xr:uid="{00000000-0005-0000-0000-000044180000}"/>
    <cellStyle name="Normal 5 2 3 2 2 2 5 3" xfId="6454" xr:uid="{00000000-0005-0000-0000-000045180000}"/>
    <cellStyle name="Normal 5 2 3 2 2 2 6" xfId="2583" xr:uid="{00000000-0005-0000-0000-000046180000}"/>
    <cellStyle name="Normal 5 2 3 2 2 2 6 2" xfId="6867" xr:uid="{00000000-0005-0000-0000-000047180000}"/>
    <cellStyle name="Normal 5 2 3 2 2 2 7" xfId="4802" xr:uid="{00000000-0005-0000-0000-000048180000}"/>
    <cellStyle name="Normal 5 2 3 2 2 3" xfId="901" xr:uid="{00000000-0005-0000-0000-000049180000}"/>
    <cellStyle name="Normal 5 2 3 2 2 3 2" xfId="3136" xr:uid="{00000000-0005-0000-0000-00004A180000}"/>
    <cellStyle name="Normal 5 2 3 2 2 3 2 2" xfId="7359" xr:uid="{00000000-0005-0000-0000-00004B180000}"/>
    <cellStyle name="Normal 5 2 3 2 2 3 3" xfId="5214" xr:uid="{00000000-0005-0000-0000-00004C180000}"/>
    <cellStyle name="Normal 5 2 3 2 2 4" xfId="1319" xr:uid="{00000000-0005-0000-0000-00004D180000}"/>
    <cellStyle name="Normal 5 2 3 2 2 4 2" xfId="3549" xr:uid="{00000000-0005-0000-0000-00004E180000}"/>
    <cellStyle name="Normal 5 2 3 2 2 4 2 2" xfId="7772" xr:uid="{00000000-0005-0000-0000-00004F180000}"/>
    <cellStyle name="Normal 5 2 3 2 2 4 3" xfId="5627" xr:uid="{00000000-0005-0000-0000-000050180000}"/>
    <cellStyle name="Normal 5 2 3 2 2 5" xfId="1732" xr:uid="{00000000-0005-0000-0000-000051180000}"/>
    <cellStyle name="Normal 5 2 3 2 2 5 2" xfId="3962" xr:uid="{00000000-0005-0000-0000-000052180000}"/>
    <cellStyle name="Normal 5 2 3 2 2 5 2 2" xfId="8185" xr:uid="{00000000-0005-0000-0000-000053180000}"/>
    <cellStyle name="Normal 5 2 3 2 2 5 3" xfId="6040" xr:uid="{00000000-0005-0000-0000-000054180000}"/>
    <cellStyle name="Normal 5 2 3 2 2 6" xfId="2146" xr:uid="{00000000-0005-0000-0000-000055180000}"/>
    <cellStyle name="Normal 5 2 3 2 2 6 2" xfId="4375" xr:uid="{00000000-0005-0000-0000-000056180000}"/>
    <cellStyle name="Normal 5 2 3 2 2 6 2 2" xfId="8598" xr:uid="{00000000-0005-0000-0000-000057180000}"/>
    <cellStyle name="Normal 5 2 3 2 2 6 3" xfId="6453" xr:uid="{00000000-0005-0000-0000-000058180000}"/>
    <cellStyle name="Normal 5 2 3 2 2 7" xfId="2582" xr:uid="{00000000-0005-0000-0000-000059180000}"/>
    <cellStyle name="Normal 5 2 3 2 2 7 2" xfId="6866" xr:uid="{00000000-0005-0000-0000-00005A180000}"/>
    <cellStyle name="Normal 5 2 3 2 2 8" xfId="4801"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1" xr:uid="{00000000-0005-0000-0000-00005F180000}"/>
    <cellStyle name="Normal 5 2 3 2 3 2 3" xfId="5216" xr:uid="{00000000-0005-0000-0000-000060180000}"/>
    <cellStyle name="Normal 5 2 3 2 3 3" xfId="1321" xr:uid="{00000000-0005-0000-0000-000061180000}"/>
    <cellStyle name="Normal 5 2 3 2 3 3 2" xfId="3551" xr:uid="{00000000-0005-0000-0000-000062180000}"/>
    <cellStyle name="Normal 5 2 3 2 3 3 2 2" xfId="7774" xr:uid="{00000000-0005-0000-0000-000063180000}"/>
    <cellStyle name="Normal 5 2 3 2 3 3 3" xfId="5629" xr:uid="{00000000-0005-0000-0000-000064180000}"/>
    <cellStyle name="Normal 5 2 3 2 3 4" xfId="1734" xr:uid="{00000000-0005-0000-0000-000065180000}"/>
    <cellStyle name="Normal 5 2 3 2 3 4 2" xfId="3964" xr:uid="{00000000-0005-0000-0000-000066180000}"/>
    <cellStyle name="Normal 5 2 3 2 3 4 2 2" xfId="8187" xr:uid="{00000000-0005-0000-0000-000067180000}"/>
    <cellStyle name="Normal 5 2 3 2 3 4 3" xfId="6042" xr:uid="{00000000-0005-0000-0000-000068180000}"/>
    <cellStyle name="Normal 5 2 3 2 3 5" xfId="2148" xr:uid="{00000000-0005-0000-0000-000069180000}"/>
    <cellStyle name="Normal 5 2 3 2 3 5 2" xfId="4377" xr:uid="{00000000-0005-0000-0000-00006A180000}"/>
    <cellStyle name="Normal 5 2 3 2 3 5 2 2" xfId="8600" xr:uid="{00000000-0005-0000-0000-00006B180000}"/>
    <cellStyle name="Normal 5 2 3 2 3 5 3" xfId="6455" xr:uid="{00000000-0005-0000-0000-00006C180000}"/>
    <cellStyle name="Normal 5 2 3 2 3 6" xfId="2584" xr:uid="{00000000-0005-0000-0000-00006D180000}"/>
    <cellStyle name="Normal 5 2 3 2 3 6 2" xfId="6868" xr:uid="{00000000-0005-0000-0000-00006E180000}"/>
    <cellStyle name="Normal 5 2 3 2 3 7" xfId="4803" xr:uid="{00000000-0005-0000-0000-00006F180000}"/>
    <cellStyle name="Normal 5 2 3 2 4" xfId="900" xr:uid="{00000000-0005-0000-0000-000070180000}"/>
    <cellStyle name="Normal 5 2 3 2 4 2" xfId="3135" xr:uid="{00000000-0005-0000-0000-000071180000}"/>
    <cellStyle name="Normal 5 2 3 2 4 2 2" xfId="7358" xr:uid="{00000000-0005-0000-0000-000072180000}"/>
    <cellStyle name="Normal 5 2 3 2 4 3" xfId="5213" xr:uid="{00000000-0005-0000-0000-000073180000}"/>
    <cellStyle name="Normal 5 2 3 2 5" xfId="1318" xr:uid="{00000000-0005-0000-0000-000074180000}"/>
    <cellStyle name="Normal 5 2 3 2 5 2" xfId="3548" xr:uid="{00000000-0005-0000-0000-000075180000}"/>
    <cellStyle name="Normal 5 2 3 2 5 2 2" xfId="7771" xr:uid="{00000000-0005-0000-0000-000076180000}"/>
    <cellStyle name="Normal 5 2 3 2 5 3" xfId="5626" xr:uid="{00000000-0005-0000-0000-000077180000}"/>
    <cellStyle name="Normal 5 2 3 2 6" xfId="1731" xr:uid="{00000000-0005-0000-0000-000078180000}"/>
    <cellStyle name="Normal 5 2 3 2 6 2" xfId="3961" xr:uid="{00000000-0005-0000-0000-000079180000}"/>
    <cellStyle name="Normal 5 2 3 2 6 2 2" xfId="8184" xr:uid="{00000000-0005-0000-0000-00007A180000}"/>
    <cellStyle name="Normal 5 2 3 2 6 3" xfId="6039" xr:uid="{00000000-0005-0000-0000-00007B180000}"/>
    <cellStyle name="Normal 5 2 3 2 7" xfId="2145" xr:uid="{00000000-0005-0000-0000-00007C180000}"/>
    <cellStyle name="Normal 5 2 3 2 7 2" xfId="4374" xr:uid="{00000000-0005-0000-0000-00007D180000}"/>
    <cellStyle name="Normal 5 2 3 2 7 2 2" xfId="8597" xr:uid="{00000000-0005-0000-0000-00007E180000}"/>
    <cellStyle name="Normal 5 2 3 2 7 3" xfId="6452" xr:uid="{00000000-0005-0000-0000-00007F180000}"/>
    <cellStyle name="Normal 5 2 3 2 8" xfId="2581" xr:uid="{00000000-0005-0000-0000-000080180000}"/>
    <cellStyle name="Normal 5 2 3 2 8 2" xfId="6865" xr:uid="{00000000-0005-0000-0000-000081180000}"/>
    <cellStyle name="Normal 5 2 3 2 9" xfId="4800"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3" xr:uid="{00000000-0005-0000-0000-000087180000}"/>
    <cellStyle name="Normal 5 2 3 3 2 2 3" xfId="5218" xr:uid="{00000000-0005-0000-0000-000088180000}"/>
    <cellStyle name="Normal 5 2 3 3 2 3" xfId="1323" xr:uid="{00000000-0005-0000-0000-000089180000}"/>
    <cellStyle name="Normal 5 2 3 3 2 3 2" xfId="3553" xr:uid="{00000000-0005-0000-0000-00008A180000}"/>
    <cellStyle name="Normal 5 2 3 3 2 3 2 2" xfId="7776" xr:uid="{00000000-0005-0000-0000-00008B180000}"/>
    <cellStyle name="Normal 5 2 3 3 2 3 3" xfId="5631" xr:uid="{00000000-0005-0000-0000-00008C180000}"/>
    <cellStyle name="Normal 5 2 3 3 2 4" xfId="1736" xr:uid="{00000000-0005-0000-0000-00008D180000}"/>
    <cellStyle name="Normal 5 2 3 3 2 4 2" xfId="3966" xr:uid="{00000000-0005-0000-0000-00008E180000}"/>
    <cellStyle name="Normal 5 2 3 3 2 4 2 2" xfId="8189" xr:uid="{00000000-0005-0000-0000-00008F180000}"/>
    <cellStyle name="Normal 5 2 3 3 2 4 3" xfId="6044" xr:uid="{00000000-0005-0000-0000-000090180000}"/>
    <cellStyle name="Normal 5 2 3 3 2 5" xfId="2150" xr:uid="{00000000-0005-0000-0000-000091180000}"/>
    <cellStyle name="Normal 5 2 3 3 2 5 2" xfId="4379" xr:uid="{00000000-0005-0000-0000-000092180000}"/>
    <cellStyle name="Normal 5 2 3 3 2 5 2 2" xfId="8602" xr:uid="{00000000-0005-0000-0000-000093180000}"/>
    <cellStyle name="Normal 5 2 3 3 2 5 3" xfId="6457" xr:uid="{00000000-0005-0000-0000-000094180000}"/>
    <cellStyle name="Normal 5 2 3 3 2 6" xfId="2586" xr:uid="{00000000-0005-0000-0000-000095180000}"/>
    <cellStyle name="Normal 5 2 3 3 2 6 2" xfId="6870" xr:uid="{00000000-0005-0000-0000-000096180000}"/>
    <cellStyle name="Normal 5 2 3 3 2 7" xfId="4805" xr:uid="{00000000-0005-0000-0000-000097180000}"/>
    <cellStyle name="Normal 5 2 3 3 3" xfId="904" xr:uid="{00000000-0005-0000-0000-000098180000}"/>
    <cellStyle name="Normal 5 2 3 3 3 2" xfId="3139" xr:uid="{00000000-0005-0000-0000-000099180000}"/>
    <cellStyle name="Normal 5 2 3 3 3 2 2" xfId="7362" xr:uid="{00000000-0005-0000-0000-00009A180000}"/>
    <cellStyle name="Normal 5 2 3 3 3 3" xfId="5217" xr:uid="{00000000-0005-0000-0000-00009B180000}"/>
    <cellStyle name="Normal 5 2 3 3 4" xfId="1322" xr:uid="{00000000-0005-0000-0000-00009C180000}"/>
    <cellStyle name="Normal 5 2 3 3 4 2" xfId="3552" xr:uid="{00000000-0005-0000-0000-00009D180000}"/>
    <cellStyle name="Normal 5 2 3 3 4 2 2" xfId="7775" xr:uid="{00000000-0005-0000-0000-00009E180000}"/>
    <cellStyle name="Normal 5 2 3 3 4 3" xfId="5630" xr:uid="{00000000-0005-0000-0000-00009F180000}"/>
    <cellStyle name="Normal 5 2 3 3 5" xfId="1735" xr:uid="{00000000-0005-0000-0000-0000A0180000}"/>
    <cellStyle name="Normal 5 2 3 3 5 2" xfId="3965" xr:uid="{00000000-0005-0000-0000-0000A1180000}"/>
    <cellStyle name="Normal 5 2 3 3 5 2 2" xfId="8188" xr:uid="{00000000-0005-0000-0000-0000A2180000}"/>
    <cellStyle name="Normal 5 2 3 3 5 3" xfId="6043" xr:uid="{00000000-0005-0000-0000-0000A3180000}"/>
    <cellStyle name="Normal 5 2 3 3 6" xfId="2149" xr:uid="{00000000-0005-0000-0000-0000A4180000}"/>
    <cellStyle name="Normal 5 2 3 3 6 2" xfId="4378" xr:uid="{00000000-0005-0000-0000-0000A5180000}"/>
    <cellStyle name="Normal 5 2 3 3 6 2 2" xfId="8601" xr:uid="{00000000-0005-0000-0000-0000A6180000}"/>
    <cellStyle name="Normal 5 2 3 3 6 3" xfId="6456" xr:uid="{00000000-0005-0000-0000-0000A7180000}"/>
    <cellStyle name="Normal 5 2 3 3 7" xfId="2585" xr:uid="{00000000-0005-0000-0000-0000A8180000}"/>
    <cellStyle name="Normal 5 2 3 3 7 2" xfId="6869" xr:uid="{00000000-0005-0000-0000-0000A9180000}"/>
    <cellStyle name="Normal 5 2 3 3 8" xfId="4804"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4" xr:uid="{00000000-0005-0000-0000-0000AE180000}"/>
    <cellStyle name="Normal 5 2 3 4 2 3" xfId="5219" xr:uid="{00000000-0005-0000-0000-0000AF180000}"/>
    <cellStyle name="Normal 5 2 3 4 3" xfId="1324" xr:uid="{00000000-0005-0000-0000-0000B0180000}"/>
    <cellStyle name="Normal 5 2 3 4 3 2" xfId="3554" xr:uid="{00000000-0005-0000-0000-0000B1180000}"/>
    <cellStyle name="Normal 5 2 3 4 3 2 2" xfId="7777" xr:uid="{00000000-0005-0000-0000-0000B2180000}"/>
    <cellStyle name="Normal 5 2 3 4 3 3" xfId="5632" xr:uid="{00000000-0005-0000-0000-0000B3180000}"/>
    <cellStyle name="Normal 5 2 3 4 4" xfId="1737" xr:uid="{00000000-0005-0000-0000-0000B4180000}"/>
    <cellStyle name="Normal 5 2 3 4 4 2" xfId="3967" xr:uid="{00000000-0005-0000-0000-0000B5180000}"/>
    <cellStyle name="Normal 5 2 3 4 4 2 2" xfId="8190" xr:uid="{00000000-0005-0000-0000-0000B6180000}"/>
    <cellStyle name="Normal 5 2 3 4 4 3" xfId="6045" xr:uid="{00000000-0005-0000-0000-0000B7180000}"/>
    <cellStyle name="Normal 5 2 3 4 5" xfId="2151" xr:uid="{00000000-0005-0000-0000-0000B8180000}"/>
    <cellStyle name="Normal 5 2 3 4 5 2" xfId="4380" xr:uid="{00000000-0005-0000-0000-0000B9180000}"/>
    <cellStyle name="Normal 5 2 3 4 5 2 2" xfId="8603" xr:uid="{00000000-0005-0000-0000-0000BA180000}"/>
    <cellStyle name="Normal 5 2 3 4 5 3" xfId="6458" xr:uid="{00000000-0005-0000-0000-0000BB180000}"/>
    <cellStyle name="Normal 5 2 3 4 6" xfId="2587" xr:uid="{00000000-0005-0000-0000-0000BC180000}"/>
    <cellStyle name="Normal 5 2 3 4 6 2" xfId="6871" xr:uid="{00000000-0005-0000-0000-0000BD180000}"/>
    <cellStyle name="Normal 5 2 3 4 7" xfId="4806" xr:uid="{00000000-0005-0000-0000-0000BE180000}"/>
    <cellStyle name="Normal 5 2 3 5" xfId="899" xr:uid="{00000000-0005-0000-0000-0000BF180000}"/>
    <cellStyle name="Normal 5 2 3 5 2" xfId="3134" xr:uid="{00000000-0005-0000-0000-0000C0180000}"/>
    <cellStyle name="Normal 5 2 3 5 2 2" xfId="7357" xr:uid="{00000000-0005-0000-0000-0000C1180000}"/>
    <cellStyle name="Normal 5 2 3 5 3" xfId="5212" xr:uid="{00000000-0005-0000-0000-0000C2180000}"/>
    <cellStyle name="Normal 5 2 3 6" xfId="1317" xr:uid="{00000000-0005-0000-0000-0000C3180000}"/>
    <cellStyle name="Normal 5 2 3 6 2" xfId="3547" xr:uid="{00000000-0005-0000-0000-0000C4180000}"/>
    <cellStyle name="Normal 5 2 3 6 2 2" xfId="7770" xr:uid="{00000000-0005-0000-0000-0000C5180000}"/>
    <cellStyle name="Normal 5 2 3 6 3" xfId="5625" xr:uid="{00000000-0005-0000-0000-0000C6180000}"/>
    <cellStyle name="Normal 5 2 3 7" xfId="1730" xr:uid="{00000000-0005-0000-0000-0000C7180000}"/>
    <cellStyle name="Normal 5 2 3 7 2" xfId="3960" xr:uid="{00000000-0005-0000-0000-0000C8180000}"/>
    <cellStyle name="Normal 5 2 3 7 2 2" xfId="8183" xr:uid="{00000000-0005-0000-0000-0000C9180000}"/>
    <cellStyle name="Normal 5 2 3 7 3" xfId="6038" xr:uid="{00000000-0005-0000-0000-0000CA180000}"/>
    <cellStyle name="Normal 5 2 3 8" xfId="2144" xr:uid="{00000000-0005-0000-0000-0000CB180000}"/>
    <cellStyle name="Normal 5 2 3 8 2" xfId="4373" xr:uid="{00000000-0005-0000-0000-0000CC180000}"/>
    <cellStyle name="Normal 5 2 3 8 2 2" xfId="8596" xr:uid="{00000000-0005-0000-0000-0000CD180000}"/>
    <cellStyle name="Normal 5 2 3 8 3" xfId="6451" xr:uid="{00000000-0005-0000-0000-0000CE180000}"/>
    <cellStyle name="Normal 5 2 3 9" xfId="2580" xr:uid="{00000000-0005-0000-0000-0000CF180000}"/>
    <cellStyle name="Normal 5 2 3 9 2" xfId="6864"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7" xr:uid="{00000000-0005-0000-0000-0000D6180000}"/>
    <cellStyle name="Normal 5 2 4 2 2 2 3" xfId="5222" xr:uid="{00000000-0005-0000-0000-0000D7180000}"/>
    <cellStyle name="Normal 5 2 4 2 2 3" xfId="1327" xr:uid="{00000000-0005-0000-0000-0000D8180000}"/>
    <cellStyle name="Normal 5 2 4 2 2 3 2" xfId="3557" xr:uid="{00000000-0005-0000-0000-0000D9180000}"/>
    <cellStyle name="Normal 5 2 4 2 2 3 2 2" xfId="7780" xr:uid="{00000000-0005-0000-0000-0000DA180000}"/>
    <cellStyle name="Normal 5 2 4 2 2 3 3" xfId="5635" xr:uid="{00000000-0005-0000-0000-0000DB180000}"/>
    <cellStyle name="Normal 5 2 4 2 2 4" xfId="1740" xr:uid="{00000000-0005-0000-0000-0000DC180000}"/>
    <cellStyle name="Normal 5 2 4 2 2 4 2" xfId="3970" xr:uid="{00000000-0005-0000-0000-0000DD180000}"/>
    <cellStyle name="Normal 5 2 4 2 2 4 2 2" xfId="8193" xr:uid="{00000000-0005-0000-0000-0000DE180000}"/>
    <cellStyle name="Normal 5 2 4 2 2 4 3" xfId="6048" xr:uid="{00000000-0005-0000-0000-0000DF180000}"/>
    <cellStyle name="Normal 5 2 4 2 2 5" xfId="2154" xr:uid="{00000000-0005-0000-0000-0000E0180000}"/>
    <cellStyle name="Normal 5 2 4 2 2 5 2" xfId="4383" xr:uid="{00000000-0005-0000-0000-0000E1180000}"/>
    <cellStyle name="Normal 5 2 4 2 2 5 2 2" xfId="8606" xr:uid="{00000000-0005-0000-0000-0000E2180000}"/>
    <cellStyle name="Normal 5 2 4 2 2 5 3" xfId="6461" xr:uid="{00000000-0005-0000-0000-0000E3180000}"/>
    <cellStyle name="Normal 5 2 4 2 2 6" xfId="2590" xr:uid="{00000000-0005-0000-0000-0000E4180000}"/>
    <cellStyle name="Normal 5 2 4 2 2 6 2" xfId="6874" xr:uid="{00000000-0005-0000-0000-0000E5180000}"/>
    <cellStyle name="Normal 5 2 4 2 2 7" xfId="4809" xr:uid="{00000000-0005-0000-0000-0000E6180000}"/>
    <cellStyle name="Normal 5 2 4 2 3" xfId="908" xr:uid="{00000000-0005-0000-0000-0000E7180000}"/>
    <cellStyle name="Normal 5 2 4 2 3 2" xfId="3143" xr:uid="{00000000-0005-0000-0000-0000E8180000}"/>
    <cellStyle name="Normal 5 2 4 2 3 2 2" xfId="7366" xr:uid="{00000000-0005-0000-0000-0000E9180000}"/>
    <cellStyle name="Normal 5 2 4 2 3 3" xfId="5221" xr:uid="{00000000-0005-0000-0000-0000EA180000}"/>
    <cellStyle name="Normal 5 2 4 2 4" xfId="1326" xr:uid="{00000000-0005-0000-0000-0000EB180000}"/>
    <cellStyle name="Normal 5 2 4 2 4 2" xfId="3556" xr:uid="{00000000-0005-0000-0000-0000EC180000}"/>
    <cellStyle name="Normal 5 2 4 2 4 2 2" xfId="7779" xr:uid="{00000000-0005-0000-0000-0000ED180000}"/>
    <cellStyle name="Normal 5 2 4 2 4 3" xfId="5634" xr:uid="{00000000-0005-0000-0000-0000EE180000}"/>
    <cellStyle name="Normal 5 2 4 2 5" xfId="1739" xr:uid="{00000000-0005-0000-0000-0000EF180000}"/>
    <cellStyle name="Normal 5 2 4 2 5 2" xfId="3969" xr:uid="{00000000-0005-0000-0000-0000F0180000}"/>
    <cellStyle name="Normal 5 2 4 2 5 2 2" xfId="8192" xr:uid="{00000000-0005-0000-0000-0000F1180000}"/>
    <cellStyle name="Normal 5 2 4 2 5 3" xfId="6047" xr:uid="{00000000-0005-0000-0000-0000F2180000}"/>
    <cellStyle name="Normal 5 2 4 2 6" xfId="2153" xr:uid="{00000000-0005-0000-0000-0000F3180000}"/>
    <cellStyle name="Normal 5 2 4 2 6 2" xfId="4382" xr:uid="{00000000-0005-0000-0000-0000F4180000}"/>
    <cellStyle name="Normal 5 2 4 2 6 2 2" xfId="8605" xr:uid="{00000000-0005-0000-0000-0000F5180000}"/>
    <cellStyle name="Normal 5 2 4 2 6 3" xfId="6460" xr:uid="{00000000-0005-0000-0000-0000F6180000}"/>
    <cellStyle name="Normal 5 2 4 2 7" xfId="2589" xr:uid="{00000000-0005-0000-0000-0000F7180000}"/>
    <cellStyle name="Normal 5 2 4 2 7 2" xfId="6873" xr:uid="{00000000-0005-0000-0000-0000F8180000}"/>
    <cellStyle name="Normal 5 2 4 2 8" xfId="4808"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8" xr:uid="{00000000-0005-0000-0000-0000FD180000}"/>
    <cellStyle name="Normal 5 2 4 3 2 3" xfId="5223" xr:uid="{00000000-0005-0000-0000-0000FE180000}"/>
    <cellStyle name="Normal 5 2 4 3 3" xfId="1328" xr:uid="{00000000-0005-0000-0000-0000FF180000}"/>
    <cellStyle name="Normal 5 2 4 3 3 2" xfId="3558" xr:uid="{00000000-0005-0000-0000-000000190000}"/>
    <cellStyle name="Normal 5 2 4 3 3 2 2" xfId="7781" xr:uid="{00000000-0005-0000-0000-000001190000}"/>
    <cellStyle name="Normal 5 2 4 3 3 3" xfId="5636" xr:uid="{00000000-0005-0000-0000-000002190000}"/>
    <cellStyle name="Normal 5 2 4 3 4" xfId="1741" xr:uid="{00000000-0005-0000-0000-000003190000}"/>
    <cellStyle name="Normal 5 2 4 3 4 2" xfId="3971" xr:uid="{00000000-0005-0000-0000-000004190000}"/>
    <cellStyle name="Normal 5 2 4 3 4 2 2" xfId="8194" xr:uid="{00000000-0005-0000-0000-000005190000}"/>
    <cellStyle name="Normal 5 2 4 3 4 3" xfId="6049" xr:uid="{00000000-0005-0000-0000-000006190000}"/>
    <cellStyle name="Normal 5 2 4 3 5" xfId="2155" xr:uid="{00000000-0005-0000-0000-000007190000}"/>
    <cellStyle name="Normal 5 2 4 3 5 2" xfId="4384" xr:uid="{00000000-0005-0000-0000-000008190000}"/>
    <cellStyle name="Normal 5 2 4 3 5 2 2" xfId="8607" xr:uid="{00000000-0005-0000-0000-000009190000}"/>
    <cellStyle name="Normal 5 2 4 3 5 3" xfId="6462" xr:uid="{00000000-0005-0000-0000-00000A190000}"/>
    <cellStyle name="Normal 5 2 4 3 6" xfId="2591" xr:uid="{00000000-0005-0000-0000-00000B190000}"/>
    <cellStyle name="Normal 5 2 4 3 6 2" xfId="6875" xr:uid="{00000000-0005-0000-0000-00000C190000}"/>
    <cellStyle name="Normal 5 2 4 3 7" xfId="4810" xr:uid="{00000000-0005-0000-0000-00000D190000}"/>
    <cellStyle name="Normal 5 2 4 4" xfId="907" xr:uid="{00000000-0005-0000-0000-00000E190000}"/>
    <cellStyle name="Normal 5 2 4 4 2" xfId="3142" xr:uid="{00000000-0005-0000-0000-00000F190000}"/>
    <cellStyle name="Normal 5 2 4 4 2 2" xfId="7365" xr:uid="{00000000-0005-0000-0000-000010190000}"/>
    <cellStyle name="Normal 5 2 4 4 3" xfId="5220" xr:uid="{00000000-0005-0000-0000-000011190000}"/>
    <cellStyle name="Normal 5 2 4 5" xfId="1325" xr:uid="{00000000-0005-0000-0000-000012190000}"/>
    <cellStyle name="Normal 5 2 4 5 2" xfId="3555" xr:uid="{00000000-0005-0000-0000-000013190000}"/>
    <cellStyle name="Normal 5 2 4 5 2 2" xfId="7778" xr:uid="{00000000-0005-0000-0000-000014190000}"/>
    <cellStyle name="Normal 5 2 4 5 3" xfId="5633" xr:uid="{00000000-0005-0000-0000-000015190000}"/>
    <cellStyle name="Normal 5 2 4 6" xfId="1738" xr:uid="{00000000-0005-0000-0000-000016190000}"/>
    <cellStyle name="Normal 5 2 4 6 2" xfId="3968" xr:uid="{00000000-0005-0000-0000-000017190000}"/>
    <cellStyle name="Normal 5 2 4 6 2 2" xfId="8191" xr:uid="{00000000-0005-0000-0000-000018190000}"/>
    <cellStyle name="Normal 5 2 4 6 3" xfId="6046" xr:uid="{00000000-0005-0000-0000-000019190000}"/>
    <cellStyle name="Normal 5 2 4 7" xfId="2152" xr:uid="{00000000-0005-0000-0000-00001A190000}"/>
    <cellStyle name="Normal 5 2 4 7 2" xfId="4381" xr:uid="{00000000-0005-0000-0000-00001B190000}"/>
    <cellStyle name="Normal 5 2 4 7 2 2" xfId="8604" xr:uid="{00000000-0005-0000-0000-00001C190000}"/>
    <cellStyle name="Normal 5 2 4 7 3" xfId="6459" xr:uid="{00000000-0005-0000-0000-00001D190000}"/>
    <cellStyle name="Normal 5 2 4 8" xfId="2588" xr:uid="{00000000-0005-0000-0000-00001E190000}"/>
    <cellStyle name="Normal 5 2 4 8 2" xfId="6872" xr:uid="{00000000-0005-0000-0000-00001F190000}"/>
    <cellStyle name="Normal 5 2 4 9" xfId="4807"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0" xr:uid="{00000000-0005-0000-0000-000025190000}"/>
    <cellStyle name="Normal 5 2 5 2 2 3" xfId="5225" xr:uid="{00000000-0005-0000-0000-000026190000}"/>
    <cellStyle name="Normal 5 2 5 2 3" xfId="1330" xr:uid="{00000000-0005-0000-0000-000027190000}"/>
    <cellStyle name="Normal 5 2 5 2 3 2" xfId="3560" xr:uid="{00000000-0005-0000-0000-000028190000}"/>
    <cellStyle name="Normal 5 2 5 2 3 2 2" xfId="7783" xr:uid="{00000000-0005-0000-0000-000029190000}"/>
    <cellStyle name="Normal 5 2 5 2 3 3" xfId="5638" xr:uid="{00000000-0005-0000-0000-00002A190000}"/>
    <cellStyle name="Normal 5 2 5 2 4" xfId="1743" xr:uid="{00000000-0005-0000-0000-00002B190000}"/>
    <cellStyle name="Normal 5 2 5 2 4 2" xfId="3973" xr:uid="{00000000-0005-0000-0000-00002C190000}"/>
    <cellStyle name="Normal 5 2 5 2 4 2 2" xfId="8196" xr:uid="{00000000-0005-0000-0000-00002D190000}"/>
    <cellStyle name="Normal 5 2 5 2 4 3" xfId="6051" xr:uid="{00000000-0005-0000-0000-00002E190000}"/>
    <cellStyle name="Normal 5 2 5 2 5" xfId="2157" xr:uid="{00000000-0005-0000-0000-00002F190000}"/>
    <cellStyle name="Normal 5 2 5 2 5 2" xfId="4386" xr:uid="{00000000-0005-0000-0000-000030190000}"/>
    <cellStyle name="Normal 5 2 5 2 5 2 2" xfId="8609" xr:uid="{00000000-0005-0000-0000-000031190000}"/>
    <cellStyle name="Normal 5 2 5 2 5 3" xfId="6464" xr:uid="{00000000-0005-0000-0000-000032190000}"/>
    <cellStyle name="Normal 5 2 5 2 6" xfId="2593" xr:uid="{00000000-0005-0000-0000-000033190000}"/>
    <cellStyle name="Normal 5 2 5 2 6 2" xfId="6877" xr:uid="{00000000-0005-0000-0000-000034190000}"/>
    <cellStyle name="Normal 5 2 5 2 7" xfId="4812" xr:uid="{00000000-0005-0000-0000-000035190000}"/>
    <cellStyle name="Normal 5 2 5 3" xfId="911" xr:uid="{00000000-0005-0000-0000-000036190000}"/>
    <cellStyle name="Normal 5 2 5 3 2" xfId="3146" xr:uid="{00000000-0005-0000-0000-000037190000}"/>
    <cellStyle name="Normal 5 2 5 3 2 2" xfId="7369" xr:uid="{00000000-0005-0000-0000-000038190000}"/>
    <cellStyle name="Normal 5 2 5 3 3" xfId="5224" xr:uid="{00000000-0005-0000-0000-000039190000}"/>
    <cellStyle name="Normal 5 2 5 4" xfId="1329" xr:uid="{00000000-0005-0000-0000-00003A190000}"/>
    <cellStyle name="Normal 5 2 5 4 2" xfId="3559" xr:uid="{00000000-0005-0000-0000-00003B190000}"/>
    <cellStyle name="Normal 5 2 5 4 2 2" xfId="7782" xr:uid="{00000000-0005-0000-0000-00003C190000}"/>
    <cellStyle name="Normal 5 2 5 4 3" xfId="5637" xr:uid="{00000000-0005-0000-0000-00003D190000}"/>
    <cellStyle name="Normal 5 2 5 5" xfId="1742" xr:uid="{00000000-0005-0000-0000-00003E190000}"/>
    <cellStyle name="Normal 5 2 5 5 2" xfId="3972" xr:uid="{00000000-0005-0000-0000-00003F190000}"/>
    <cellStyle name="Normal 5 2 5 5 2 2" xfId="8195" xr:uid="{00000000-0005-0000-0000-000040190000}"/>
    <cellStyle name="Normal 5 2 5 5 3" xfId="6050" xr:uid="{00000000-0005-0000-0000-000041190000}"/>
    <cellStyle name="Normal 5 2 5 6" xfId="2156" xr:uid="{00000000-0005-0000-0000-000042190000}"/>
    <cellStyle name="Normal 5 2 5 6 2" xfId="4385" xr:uid="{00000000-0005-0000-0000-000043190000}"/>
    <cellStyle name="Normal 5 2 5 6 2 2" xfId="8608" xr:uid="{00000000-0005-0000-0000-000044190000}"/>
    <cellStyle name="Normal 5 2 5 6 3" xfId="6463" xr:uid="{00000000-0005-0000-0000-000045190000}"/>
    <cellStyle name="Normal 5 2 5 7" xfId="2592" xr:uid="{00000000-0005-0000-0000-000046190000}"/>
    <cellStyle name="Normal 5 2 5 7 2" xfId="6876" xr:uid="{00000000-0005-0000-0000-000047190000}"/>
    <cellStyle name="Normal 5 2 5 8" xfId="4811"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1" xr:uid="{00000000-0005-0000-0000-00004C190000}"/>
    <cellStyle name="Normal 5 2 6 2 3" xfId="5226" xr:uid="{00000000-0005-0000-0000-00004D190000}"/>
    <cellStyle name="Normal 5 2 6 3" xfId="1331" xr:uid="{00000000-0005-0000-0000-00004E190000}"/>
    <cellStyle name="Normal 5 2 6 3 2" xfId="3561" xr:uid="{00000000-0005-0000-0000-00004F190000}"/>
    <cellStyle name="Normal 5 2 6 3 2 2" xfId="7784" xr:uid="{00000000-0005-0000-0000-000050190000}"/>
    <cellStyle name="Normal 5 2 6 3 3" xfId="5639" xr:uid="{00000000-0005-0000-0000-000051190000}"/>
    <cellStyle name="Normal 5 2 6 4" xfId="1744" xr:uid="{00000000-0005-0000-0000-000052190000}"/>
    <cellStyle name="Normal 5 2 6 4 2" xfId="3974" xr:uid="{00000000-0005-0000-0000-000053190000}"/>
    <cellStyle name="Normal 5 2 6 4 2 2" xfId="8197" xr:uid="{00000000-0005-0000-0000-000054190000}"/>
    <cellStyle name="Normal 5 2 6 4 3" xfId="6052" xr:uid="{00000000-0005-0000-0000-000055190000}"/>
    <cellStyle name="Normal 5 2 6 5" xfId="2158" xr:uid="{00000000-0005-0000-0000-000056190000}"/>
    <cellStyle name="Normal 5 2 6 5 2" xfId="4387" xr:uid="{00000000-0005-0000-0000-000057190000}"/>
    <cellStyle name="Normal 5 2 6 5 2 2" xfId="8610" xr:uid="{00000000-0005-0000-0000-000058190000}"/>
    <cellStyle name="Normal 5 2 6 5 3" xfId="6465" xr:uid="{00000000-0005-0000-0000-000059190000}"/>
    <cellStyle name="Normal 5 2 6 6" xfId="2594" xr:uid="{00000000-0005-0000-0000-00005A190000}"/>
    <cellStyle name="Normal 5 2 6 6 2" xfId="6878" xr:uid="{00000000-0005-0000-0000-00005B190000}"/>
    <cellStyle name="Normal 5 2 6 7" xfId="4813" xr:uid="{00000000-0005-0000-0000-00005C190000}"/>
    <cellStyle name="Normal 5 2 7" xfId="882" xr:uid="{00000000-0005-0000-0000-00005D190000}"/>
    <cellStyle name="Normal 5 2 7 2" xfId="3117" xr:uid="{00000000-0005-0000-0000-00005E190000}"/>
    <cellStyle name="Normal 5 2 7 2 2" xfId="7340" xr:uid="{00000000-0005-0000-0000-00005F190000}"/>
    <cellStyle name="Normal 5 2 7 3" xfId="5195" xr:uid="{00000000-0005-0000-0000-000060190000}"/>
    <cellStyle name="Normal 5 2 8" xfId="1300" xr:uid="{00000000-0005-0000-0000-000061190000}"/>
    <cellStyle name="Normal 5 2 8 2" xfId="3530" xr:uid="{00000000-0005-0000-0000-000062190000}"/>
    <cellStyle name="Normal 5 2 8 2 2" xfId="7753" xr:uid="{00000000-0005-0000-0000-000063190000}"/>
    <cellStyle name="Normal 5 2 8 3" xfId="5608" xr:uid="{00000000-0005-0000-0000-000064190000}"/>
    <cellStyle name="Normal 5 2 9" xfId="1713" xr:uid="{00000000-0005-0000-0000-000065190000}"/>
    <cellStyle name="Normal 5 2 9 2" xfId="3943" xr:uid="{00000000-0005-0000-0000-000066190000}"/>
    <cellStyle name="Normal 5 2 9 2 2" xfId="8166" xr:uid="{00000000-0005-0000-0000-000067190000}"/>
    <cellStyle name="Normal 5 2 9 3" xfId="6021"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1" xr:uid="{00000000-0005-0000-0000-00006C190000}"/>
    <cellStyle name="Normal 5 3 10 3" xfId="6466" xr:uid="{00000000-0005-0000-0000-00006D190000}"/>
    <cellStyle name="Normal 5 3 11" xfId="2595" xr:uid="{00000000-0005-0000-0000-00006E190000}"/>
    <cellStyle name="Normal 5 3 11 2" xfId="6879" xr:uid="{00000000-0005-0000-0000-00006F190000}"/>
    <cellStyle name="Normal 5 3 12" xfId="4814"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5"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6" xr:uid="{00000000-0005-0000-0000-00007A190000}"/>
    <cellStyle name="Normal 5 3 3 2 2 2 2 3" xfId="5231" xr:uid="{00000000-0005-0000-0000-00007B190000}"/>
    <cellStyle name="Normal 5 3 3 2 2 2 3" xfId="1336" xr:uid="{00000000-0005-0000-0000-00007C190000}"/>
    <cellStyle name="Normal 5 3 3 2 2 2 3 2" xfId="3566" xr:uid="{00000000-0005-0000-0000-00007D190000}"/>
    <cellStyle name="Normal 5 3 3 2 2 2 3 2 2" xfId="7789" xr:uid="{00000000-0005-0000-0000-00007E190000}"/>
    <cellStyle name="Normal 5 3 3 2 2 2 3 3" xfId="5644" xr:uid="{00000000-0005-0000-0000-00007F190000}"/>
    <cellStyle name="Normal 5 3 3 2 2 2 4" xfId="1749" xr:uid="{00000000-0005-0000-0000-000080190000}"/>
    <cellStyle name="Normal 5 3 3 2 2 2 4 2" xfId="3979" xr:uid="{00000000-0005-0000-0000-000081190000}"/>
    <cellStyle name="Normal 5 3 3 2 2 2 4 2 2" xfId="8202" xr:uid="{00000000-0005-0000-0000-000082190000}"/>
    <cellStyle name="Normal 5 3 3 2 2 2 4 3" xfId="6057" xr:uid="{00000000-0005-0000-0000-000083190000}"/>
    <cellStyle name="Normal 5 3 3 2 2 2 5" xfId="2163" xr:uid="{00000000-0005-0000-0000-000084190000}"/>
    <cellStyle name="Normal 5 3 3 2 2 2 5 2" xfId="4392" xr:uid="{00000000-0005-0000-0000-000085190000}"/>
    <cellStyle name="Normal 5 3 3 2 2 2 5 2 2" xfId="8615" xr:uid="{00000000-0005-0000-0000-000086190000}"/>
    <cellStyle name="Normal 5 3 3 2 2 2 5 3" xfId="6470" xr:uid="{00000000-0005-0000-0000-000087190000}"/>
    <cellStyle name="Normal 5 3 3 2 2 2 6" xfId="2599" xr:uid="{00000000-0005-0000-0000-000088190000}"/>
    <cellStyle name="Normal 5 3 3 2 2 2 6 2" xfId="6883" xr:uid="{00000000-0005-0000-0000-000089190000}"/>
    <cellStyle name="Normal 5 3 3 2 2 2 7" xfId="4818" xr:uid="{00000000-0005-0000-0000-00008A190000}"/>
    <cellStyle name="Normal 5 3 3 2 2 3" xfId="918" xr:uid="{00000000-0005-0000-0000-00008B190000}"/>
    <cellStyle name="Normal 5 3 3 2 2 3 2" xfId="3152" xr:uid="{00000000-0005-0000-0000-00008C190000}"/>
    <cellStyle name="Normal 5 3 3 2 2 3 2 2" xfId="7375" xr:uid="{00000000-0005-0000-0000-00008D190000}"/>
    <cellStyle name="Normal 5 3 3 2 2 3 3" xfId="5230" xr:uid="{00000000-0005-0000-0000-00008E190000}"/>
    <cellStyle name="Normal 5 3 3 2 2 4" xfId="1335" xr:uid="{00000000-0005-0000-0000-00008F190000}"/>
    <cellStyle name="Normal 5 3 3 2 2 4 2" xfId="3565" xr:uid="{00000000-0005-0000-0000-000090190000}"/>
    <cellStyle name="Normal 5 3 3 2 2 4 2 2" xfId="7788" xr:uid="{00000000-0005-0000-0000-000091190000}"/>
    <cellStyle name="Normal 5 3 3 2 2 4 3" xfId="5643" xr:uid="{00000000-0005-0000-0000-000092190000}"/>
    <cellStyle name="Normal 5 3 3 2 2 5" xfId="1748" xr:uid="{00000000-0005-0000-0000-000093190000}"/>
    <cellStyle name="Normal 5 3 3 2 2 5 2" xfId="3978" xr:uid="{00000000-0005-0000-0000-000094190000}"/>
    <cellStyle name="Normal 5 3 3 2 2 5 2 2" xfId="8201" xr:uid="{00000000-0005-0000-0000-000095190000}"/>
    <cellStyle name="Normal 5 3 3 2 2 5 3" xfId="6056" xr:uid="{00000000-0005-0000-0000-000096190000}"/>
    <cellStyle name="Normal 5 3 3 2 2 6" xfId="2162" xr:uid="{00000000-0005-0000-0000-000097190000}"/>
    <cellStyle name="Normal 5 3 3 2 2 6 2" xfId="4391" xr:uid="{00000000-0005-0000-0000-000098190000}"/>
    <cellStyle name="Normal 5 3 3 2 2 6 2 2" xfId="8614" xr:uid="{00000000-0005-0000-0000-000099190000}"/>
    <cellStyle name="Normal 5 3 3 2 2 6 3" xfId="6469" xr:uid="{00000000-0005-0000-0000-00009A190000}"/>
    <cellStyle name="Normal 5 3 3 2 2 7" xfId="2598" xr:uid="{00000000-0005-0000-0000-00009B190000}"/>
    <cellStyle name="Normal 5 3 3 2 2 7 2" xfId="6882" xr:uid="{00000000-0005-0000-0000-00009C190000}"/>
    <cellStyle name="Normal 5 3 3 2 2 8" xfId="4817"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7" xr:uid="{00000000-0005-0000-0000-0000A1190000}"/>
    <cellStyle name="Normal 5 3 3 2 3 2 3" xfId="5232" xr:uid="{00000000-0005-0000-0000-0000A2190000}"/>
    <cellStyle name="Normal 5 3 3 2 3 3" xfId="1337" xr:uid="{00000000-0005-0000-0000-0000A3190000}"/>
    <cellStyle name="Normal 5 3 3 2 3 3 2" xfId="3567" xr:uid="{00000000-0005-0000-0000-0000A4190000}"/>
    <cellStyle name="Normal 5 3 3 2 3 3 2 2" xfId="7790" xr:uid="{00000000-0005-0000-0000-0000A5190000}"/>
    <cellStyle name="Normal 5 3 3 2 3 3 3" xfId="5645" xr:uid="{00000000-0005-0000-0000-0000A6190000}"/>
    <cellStyle name="Normal 5 3 3 2 3 4" xfId="1750" xr:uid="{00000000-0005-0000-0000-0000A7190000}"/>
    <cellStyle name="Normal 5 3 3 2 3 4 2" xfId="3980" xr:uid="{00000000-0005-0000-0000-0000A8190000}"/>
    <cellStyle name="Normal 5 3 3 2 3 4 2 2" xfId="8203" xr:uid="{00000000-0005-0000-0000-0000A9190000}"/>
    <cellStyle name="Normal 5 3 3 2 3 4 3" xfId="6058" xr:uid="{00000000-0005-0000-0000-0000AA190000}"/>
    <cellStyle name="Normal 5 3 3 2 3 5" xfId="2164" xr:uid="{00000000-0005-0000-0000-0000AB190000}"/>
    <cellStyle name="Normal 5 3 3 2 3 5 2" xfId="4393" xr:uid="{00000000-0005-0000-0000-0000AC190000}"/>
    <cellStyle name="Normal 5 3 3 2 3 5 2 2" xfId="8616" xr:uid="{00000000-0005-0000-0000-0000AD190000}"/>
    <cellStyle name="Normal 5 3 3 2 3 5 3" xfId="6471" xr:uid="{00000000-0005-0000-0000-0000AE190000}"/>
    <cellStyle name="Normal 5 3 3 2 3 6" xfId="2600" xr:uid="{00000000-0005-0000-0000-0000AF190000}"/>
    <cellStyle name="Normal 5 3 3 2 3 6 2" xfId="6884" xr:uid="{00000000-0005-0000-0000-0000B0190000}"/>
    <cellStyle name="Normal 5 3 3 2 3 7" xfId="4819" xr:uid="{00000000-0005-0000-0000-0000B1190000}"/>
    <cellStyle name="Normal 5 3 3 2 4" xfId="917" xr:uid="{00000000-0005-0000-0000-0000B2190000}"/>
    <cellStyle name="Normal 5 3 3 2 4 2" xfId="3151" xr:uid="{00000000-0005-0000-0000-0000B3190000}"/>
    <cellStyle name="Normal 5 3 3 2 4 2 2" xfId="7374" xr:uid="{00000000-0005-0000-0000-0000B4190000}"/>
    <cellStyle name="Normal 5 3 3 2 4 3" xfId="5229" xr:uid="{00000000-0005-0000-0000-0000B5190000}"/>
    <cellStyle name="Normal 5 3 3 2 5" xfId="1334" xr:uid="{00000000-0005-0000-0000-0000B6190000}"/>
    <cellStyle name="Normal 5 3 3 2 5 2" xfId="3564" xr:uid="{00000000-0005-0000-0000-0000B7190000}"/>
    <cellStyle name="Normal 5 3 3 2 5 2 2" xfId="7787" xr:uid="{00000000-0005-0000-0000-0000B8190000}"/>
    <cellStyle name="Normal 5 3 3 2 5 3" xfId="5642" xr:uid="{00000000-0005-0000-0000-0000B9190000}"/>
    <cellStyle name="Normal 5 3 3 2 6" xfId="1747" xr:uid="{00000000-0005-0000-0000-0000BA190000}"/>
    <cellStyle name="Normal 5 3 3 2 6 2" xfId="3977" xr:uid="{00000000-0005-0000-0000-0000BB190000}"/>
    <cellStyle name="Normal 5 3 3 2 6 2 2" xfId="8200" xr:uid="{00000000-0005-0000-0000-0000BC190000}"/>
    <cellStyle name="Normal 5 3 3 2 6 3" xfId="6055" xr:uid="{00000000-0005-0000-0000-0000BD190000}"/>
    <cellStyle name="Normal 5 3 3 2 7" xfId="2161" xr:uid="{00000000-0005-0000-0000-0000BE190000}"/>
    <cellStyle name="Normal 5 3 3 2 7 2" xfId="4390" xr:uid="{00000000-0005-0000-0000-0000BF190000}"/>
    <cellStyle name="Normal 5 3 3 2 7 2 2" xfId="8613" xr:uid="{00000000-0005-0000-0000-0000C0190000}"/>
    <cellStyle name="Normal 5 3 3 2 7 3" xfId="6468" xr:uid="{00000000-0005-0000-0000-0000C1190000}"/>
    <cellStyle name="Normal 5 3 3 2 8" xfId="2597" xr:uid="{00000000-0005-0000-0000-0000C2190000}"/>
    <cellStyle name="Normal 5 3 3 2 8 2" xfId="6881" xr:uid="{00000000-0005-0000-0000-0000C3190000}"/>
    <cellStyle name="Normal 5 3 3 2 9" xfId="4816"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79" xr:uid="{00000000-0005-0000-0000-0000C9190000}"/>
    <cellStyle name="Normal 5 3 3 3 2 2 3" xfId="5234" xr:uid="{00000000-0005-0000-0000-0000CA190000}"/>
    <cellStyle name="Normal 5 3 3 3 2 3" xfId="1339" xr:uid="{00000000-0005-0000-0000-0000CB190000}"/>
    <cellStyle name="Normal 5 3 3 3 2 3 2" xfId="3569" xr:uid="{00000000-0005-0000-0000-0000CC190000}"/>
    <cellStyle name="Normal 5 3 3 3 2 3 2 2" xfId="7792" xr:uid="{00000000-0005-0000-0000-0000CD190000}"/>
    <cellStyle name="Normal 5 3 3 3 2 3 3" xfId="5647" xr:uid="{00000000-0005-0000-0000-0000CE190000}"/>
    <cellStyle name="Normal 5 3 3 3 2 4" xfId="1752" xr:uid="{00000000-0005-0000-0000-0000CF190000}"/>
    <cellStyle name="Normal 5 3 3 3 2 4 2" xfId="3982" xr:uid="{00000000-0005-0000-0000-0000D0190000}"/>
    <cellStyle name="Normal 5 3 3 3 2 4 2 2" xfId="8205" xr:uid="{00000000-0005-0000-0000-0000D1190000}"/>
    <cellStyle name="Normal 5 3 3 3 2 4 3" xfId="6060" xr:uid="{00000000-0005-0000-0000-0000D2190000}"/>
    <cellStyle name="Normal 5 3 3 3 2 5" xfId="2166" xr:uid="{00000000-0005-0000-0000-0000D3190000}"/>
    <cellStyle name="Normal 5 3 3 3 2 5 2" xfId="4395" xr:uid="{00000000-0005-0000-0000-0000D4190000}"/>
    <cellStyle name="Normal 5 3 3 3 2 5 2 2" xfId="8618" xr:uid="{00000000-0005-0000-0000-0000D5190000}"/>
    <cellStyle name="Normal 5 3 3 3 2 5 3" xfId="6473" xr:uid="{00000000-0005-0000-0000-0000D6190000}"/>
    <cellStyle name="Normal 5 3 3 3 2 6" xfId="2602" xr:uid="{00000000-0005-0000-0000-0000D7190000}"/>
    <cellStyle name="Normal 5 3 3 3 2 6 2" xfId="6886" xr:uid="{00000000-0005-0000-0000-0000D8190000}"/>
    <cellStyle name="Normal 5 3 3 3 2 7" xfId="4821" xr:uid="{00000000-0005-0000-0000-0000D9190000}"/>
    <cellStyle name="Normal 5 3 3 3 3" xfId="921" xr:uid="{00000000-0005-0000-0000-0000DA190000}"/>
    <cellStyle name="Normal 5 3 3 3 3 2" xfId="3155" xr:uid="{00000000-0005-0000-0000-0000DB190000}"/>
    <cellStyle name="Normal 5 3 3 3 3 2 2" xfId="7378" xr:uid="{00000000-0005-0000-0000-0000DC190000}"/>
    <cellStyle name="Normal 5 3 3 3 3 3" xfId="5233" xr:uid="{00000000-0005-0000-0000-0000DD190000}"/>
    <cellStyle name="Normal 5 3 3 3 4" xfId="1338" xr:uid="{00000000-0005-0000-0000-0000DE190000}"/>
    <cellStyle name="Normal 5 3 3 3 4 2" xfId="3568" xr:uid="{00000000-0005-0000-0000-0000DF190000}"/>
    <cellStyle name="Normal 5 3 3 3 4 2 2" xfId="7791" xr:uid="{00000000-0005-0000-0000-0000E0190000}"/>
    <cellStyle name="Normal 5 3 3 3 4 3" xfId="5646" xr:uid="{00000000-0005-0000-0000-0000E1190000}"/>
    <cellStyle name="Normal 5 3 3 3 5" xfId="1751" xr:uid="{00000000-0005-0000-0000-0000E2190000}"/>
    <cellStyle name="Normal 5 3 3 3 5 2" xfId="3981" xr:uid="{00000000-0005-0000-0000-0000E3190000}"/>
    <cellStyle name="Normal 5 3 3 3 5 2 2" xfId="8204" xr:uid="{00000000-0005-0000-0000-0000E4190000}"/>
    <cellStyle name="Normal 5 3 3 3 5 3" xfId="6059" xr:uid="{00000000-0005-0000-0000-0000E5190000}"/>
    <cellStyle name="Normal 5 3 3 3 6" xfId="2165" xr:uid="{00000000-0005-0000-0000-0000E6190000}"/>
    <cellStyle name="Normal 5 3 3 3 6 2" xfId="4394" xr:uid="{00000000-0005-0000-0000-0000E7190000}"/>
    <cellStyle name="Normal 5 3 3 3 6 2 2" xfId="8617" xr:uid="{00000000-0005-0000-0000-0000E8190000}"/>
    <cellStyle name="Normal 5 3 3 3 6 3" xfId="6472" xr:uid="{00000000-0005-0000-0000-0000E9190000}"/>
    <cellStyle name="Normal 5 3 3 3 7" xfId="2601" xr:uid="{00000000-0005-0000-0000-0000EA190000}"/>
    <cellStyle name="Normal 5 3 3 3 7 2" xfId="6885" xr:uid="{00000000-0005-0000-0000-0000EB190000}"/>
    <cellStyle name="Normal 5 3 3 3 8" xfId="4820"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0" xr:uid="{00000000-0005-0000-0000-0000F0190000}"/>
    <cellStyle name="Normal 5 3 3 4 2 3" xfId="5235" xr:uid="{00000000-0005-0000-0000-0000F1190000}"/>
    <cellStyle name="Normal 5 3 3 4 3" xfId="1340" xr:uid="{00000000-0005-0000-0000-0000F2190000}"/>
    <cellStyle name="Normal 5 3 3 4 3 2" xfId="3570" xr:uid="{00000000-0005-0000-0000-0000F3190000}"/>
    <cellStyle name="Normal 5 3 3 4 3 2 2" xfId="7793" xr:uid="{00000000-0005-0000-0000-0000F4190000}"/>
    <cellStyle name="Normal 5 3 3 4 3 3" xfId="5648" xr:uid="{00000000-0005-0000-0000-0000F5190000}"/>
    <cellStyle name="Normal 5 3 3 4 4" xfId="1753" xr:uid="{00000000-0005-0000-0000-0000F6190000}"/>
    <cellStyle name="Normal 5 3 3 4 4 2" xfId="3983" xr:uid="{00000000-0005-0000-0000-0000F7190000}"/>
    <cellStyle name="Normal 5 3 3 4 4 2 2" xfId="8206" xr:uid="{00000000-0005-0000-0000-0000F8190000}"/>
    <cellStyle name="Normal 5 3 3 4 4 3" xfId="6061" xr:uid="{00000000-0005-0000-0000-0000F9190000}"/>
    <cellStyle name="Normal 5 3 3 4 5" xfId="2167" xr:uid="{00000000-0005-0000-0000-0000FA190000}"/>
    <cellStyle name="Normal 5 3 3 4 5 2" xfId="4396" xr:uid="{00000000-0005-0000-0000-0000FB190000}"/>
    <cellStyle name="Normal 5 3 3 4 5 2 2" xfId="8619" xr:uid="{00000000-0005-0000-0000-0000FC190000}"/>
    <cellStyle name="Normal 5 3 3 4 5 3" xfId="6474" xr:uid="{00000000-0005-0000-0000-0000FD190000}"/>
    <cellStyle name="Normal 5 3 3 4 6" xfId="2603" xr:uid="{00000000-0005-0000-0000-0000FE190000}"/>
    <cellStyle name="Normal 5 3 3 4 6 2" xfId="6887" xr:uid="{00000000-0005-0000-0000-0000FF190000}"/>
    <cellStyle name="Normal 5 3 3 4 7" xfId="4822" xr:uid="{00000000-0005-0000-0000-0000001A0000}"/>
    <cellStyle name="Normal 5 3 3 5" xfId="916" xr:uid="{00000000-0005-0000-0000-0000011A0000}"/>
    <cellStyle name="Normal 5 3 3 5 2" xfId="3150" xr:uid="{00000000-0005-0000-0000-0000021A0000}"/>
    <cellStyle name="Normal 5 3 3 5 2 2" xfId="7373" xr:uid="{00000000-0005-0000-0000-0000031A0000}"/>
    <cellStyle name="Normal 5 3 3 5 3" xfId="5228" xr:uid="{00000000-0005-0000-0000-0000041A0000}"/>
    <cellStyle name="Normal 5 3 3 6" xfId="1333" xr:uid="{00000000-0005-0000-0000-0000051A0000}"/>
    <cellStyle name="Normal 5 3 3 6 2" xfId="3563" xr:uid="{00000000-0005-0000-0000-0000061A0000}"/>
    <cellStyle name="Normal 5 3 3 6 2 2" xfId="7786" xr:uid="{00000000-0005-0000-0000-0000071A0000}"/>
    <cellStyle name="Normal 5 3 3 6 3" xfId="5641" xr:uid="{00000000-0005-0000-0000-0000081A0000}"/>
    <cellStyle name="Normal 5 3 3 7" xfId="1746" xr:uid="{00000000-0005-0000-0000-0000091A0000}"/>
    <cellStyle name="Normal 5 3 3 7 2" xfId="3976" xr:uid="{00000000-0005-0000-0000-00000A1A0000}"/>
    <cellStyle name="Normal 5 3 3 7 2 2" xfId="8199" xr:uid="{00000000-0005-0000-0000-00000B1A0000}"/>
    <cellStyle name="Normal 5 3 3 7 3" xfId="6054" xr:uid="{00000000-0005-0000-0000-00000C1A0000}"/>
    <cellStyle name="Normal 5 3 3 8" xfId="2160" xr:uid="{00000000-0005-0000-0000-00000D1A0000}"/>
    <cellStyle name="Normal 5 3 3 8 2" xfId="4389" xr:uid="{00000000-0005-0000-0000-00000E1A0000}"/>
    <cellStyle name="Normal 5 3 3 8 2 2" xfId="8612" xr:uid="{00000000-0005-0000-0000-00000F1A0000}"/>
    <cellStyle name="Normal 5 3 3 8 3" xfId="6467" xr:uid="{00000000-0005-0000-0000-0000101A0000}"/>
    <cellStyle name="Normal 5 3 3 9" xfId="2596" xr:uid="{00000000-0005-0000-0000-0000111A0000}"/>
    <cellStyle name="Normal 5 3 3 9 2" xfId="6880"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3" xr:uid="{00000000-0005-0000-0000-0000181A0000}"/>
    <cellStyle name="Normal 5 3 4 2 2 2 3" xfId="5238" xr:uid="{00000000-0005-0000-0000-0000191A0000}"/>
    <cellStyle name="Normal 5 3 4 2 2 3" xfId="1343" xr:uid="{00000000-0005-0000-0000-00001A1A0000}"/>
    <cellStyle name="Normal 5 3 4 2 2 3 2" xfId="3573" xr:uid="{00000000-0005-0000-0000-00001B1A0000}"/>
    <cellStyle name="Normal 5 3 4 2 2 3 2 2" xfId="7796" xr:uid="{00000000-0005-0000-0000-00001C1A0000}"/>
    <cellStyle name="Normal 5 3 4 2 2 3 3" xfId="5651" xr:uid="{00000000-0005-0000-0000-00001D1A0000}"/>
    <cellStyle name="Normal 5 3 4 2 2 4" xfId="1756" xr:uid="{00000000-0005-0000-0000-00001E1A0000}"/>
    <cellStyle name="Normal 5 3 4 2 2 4 2" xfId="3986" xr:uid="{00000000-0005-0000-0000-00001F1A0000}"/>
    <cellStyle name="Normal 5 3 4 2 2 4 2 2" xfId="8209" xr:uid="{00000000-0005-0000-0000-0000201A0000}"/>
    <cellStyle name="Normal 5 3 4 2 2 4 3" xfId="6064" xr:uid="{00000000-0005-0000-0000-0000211A0000}"/>
    <cellStyle name="Normal 5 3 4 2 2 5" xfId="2170" xr:uid="{00000000-0005-0000-0000-0000221A0000}"/>
    <cellStyle name="Normal 5 3 4 2 2 5 2" xfId="4399" xr:uid="{00000000-0005-0000-0000-0000231A0000}"/>
    <cellStyle name="Normal 5 3 4 2 2 5 2 2" xfId="8622" xr:uid="{00000000-0005-0000-0000-0000241A0000}"/>
    <cellStyle name="Normal 5 3 4 2 2 5 3" xfId="6477" xr:uid="{00000000-0005-0000-0000-0000251A0000}"/>
    <cellStyle name="Normal 5 3 4 2 2 6" xfId="2606" xr:uid="{00000000-0005-0000-0000-0000261A0000}"/>
    <cellStyle name="Normal 5 3 4 2 2 6 2" xfId="6890" xr:uid="{00000000-0005-0000-0000-0000271A0000}"/>
    <cellStyle name="Normal 5 3 4 2 2 7" xfId="4825" xr:uid="{00000000-0005-0000-0000-0000281A0000}"/>
    <cellStyle name="Normal 5 3 4 2 3" xfId="925" xr:uid="{00000000-0005-0000-0000-0000291A0000}"/>
    <cellStyle name="Normal 5 3 4 2 3 2" xfId="3159" xr:uid="{00000000-0005-0000-0000-00002A1A0000}"/>
    <cellStyle name="Normal 5 3 4 2 3 2 2" xfId="7382" xr:uid="{00000000-0005-0000-0000-00002B1A0000}"/>
    <cellStyle name="Normal 5 3 4 2 3 3" xfId="5237" xr:uid="{00000000-0005-0000-0000-00002C1A0000}"/>
    <cellStyle name="Normal 5 3 4 2 4" xfId="1342" xr:uid="{00000000-0005-0000-0000-00002D1A0000}"/>
    <cellStyle name="Normal 5 3 4 2 4 2" xfId="3572" xr:uid="{00000000-0005-0000-0000-00002E1A0000}"/>
    <cellStyle name="Normal 5 3 4 2 4 2 2" xfId="7795" xr:uid="{00000000-0005-0000-0000-00002F1A0000}"/>
    <cellStyle name="Normal 5 3 4 2 4 3" xfId="5650" xr:uid="{00000000-0005-0000-0000-0000301A0000}"/>
    <cellStyle name="Normal 5 3 4 2 5" xfId="1755" xr:uid="{00000000-0005-0000-0000-0000311A0000}"/>
    <cellStyle name="Normal 5 3 4 2 5 2" xfId="3985" xr:uid="{00000000-0005-0000-0000-0000321A0000}"/>
    <cellStyle name="Normal 5 3 4 2 5 2 2" xfId="8208" xr:uid="{00000000-0005-0000-0000-0000331A0000}"/>
    <cellStyle name="Normal 5 3 4 2 5 3" xfId="6063" xr:uid="{00000000-0005-0000-0000-0000341A0000}"/>
    <cellStyle name="Normal 5 3 4 2 6" xfId="2169" xr:uid="{00000000-0005-0000-0000-0000351A0000}"/>
    <cellStyle name="Normal 5 3 4 2 6 2" xfId="4398" xr:uid="{00000000-0005-0000-0000-0000361A0000}"/>
    <cellStyle name="Normal 5 3 4 2 6 2 2" xfId="8621" xr:uid="{00000000-0005-0000-0000-0000371A0000}"/>
    <cellStyle name="Normal 5 3 4 2 6 3" xfId="6476" xr:uid="{00000000-0005-0000-0000-0000381A0000}"/>
    <cellStyle name="Normal 5 3 4 2 7" xfId="2605" xr:uid="{00000000-0005-0000-0000-0000391A0000}"/>
    <cellStyle name="Normal 5 3 4 2 7 2" xfId="6889" xr:uid="{00000000-0005-0000-0000-00003A1A0000}"/>
    <cellStyle name="Normal 5 3 4 2 8" xfId="4824"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4" xr:uid="{00000000-0005-0000-0000-00003F1A0000}"/>
    <cellStyle name="Normal 5 3 4 3 2 3" xfId="5239" xr:uid="{00000000-0005-0000-0000-0000401A0000}"/>
    <cellStyle name="Normal 5 3 4 3 3" xfId="1344" xr:uid="{00000000-0005-0000-0000-0000411A0000}"/>
    <cellStyle name="Normal 5 3 4 3 3 2" xfId="3574" xr:uid="{00000000-0005-0000-0000-0000421A0000}"/>
    <cellStyle name="Normal 5 3 4 3 3 2 2" xfId="7797" xr:uid="{00000000-0005-0000-0000-0000431A0000}"/>
    <cellStyle name="Normal 5 3 4 3 3 3" xfId="5652" xr:uid="{00000000-0005-0000-0000-0000441A0000}"/>
    <cellStyle name="Normal 5 3 4 3 4" xfId="1757" xr:uid="{00000000-0005-0000-0000-0000451A0000}"/>
    <cellStyle name="Normal 5 3 4 3 4 2" xfId="3987" xr:uid="{00000000-0005-0000-0000-0000461A0000}"/>
    <cellStyle name="Normal 5 3 4 3 4 2 2" xfId="8210" xr:uid="{00000000-0005-0000-0000-0000471A0000}"/>
    <cellStyle name="Normal 5 3 4 3 4 3" xfId="6065" xr:uid="{00000000-0005-0000-0000-0000481A0000}"/>
    <cellStyle name="Normal 5 3 4 3 5" xfId="2171" xr:uid="{00000000-0005-0000-0000-0000491A0000}"/>
    <cellStyle name="Normal 5 3 4 3 5 2" xfId="4400" xr:uid="{00000000-0005-0000-0000-00004A1A0000}"/>
    <cellStyle name="Normal 5 3 4 3 5 2 2" xfId="8623" xr:uid="{00000000-0005-0000-0000-00004B1A0000}"/>
    <cellStyle name="Normal 5 3 4 3 5 3" xfId="6478" xr:uid="{00000000-0005-0000-0000-00004C1A0000}"/>
    <cellStyle name="Normal 5 3 4 3 6" xfId="2607" xr:uid="{00000000-0005-0000-0000-00004D1A0000}"/>
    <cellStyle name="Normal 5 3 4 3 6 2" xfId="6891" xr:uid="{00000000-0005-0000-0000-00004E1A0000}"/>
    <cellStyle name="Normal 5 3 4 3 7" xfId="4826" xr:uid="{00000000-0005-0000-0000-00004F1A0000}"/>
    <cellStyle name="Normal 5 3 4 4" xfId="924" xr:uid="{00000000-0005-0000-0000-0000501A0000}"/>
    <cellStyle name="Normal 5 3 4 4 2" xfId="3158" xr:uid="{00000000-0005-0000-0000-0000511A0000}"/>
    <cellStyle name="Normal 5 3 4 4 2 2" xfId="7381" xr:uid="{00000000-0005-0000-0000-0000521A0000}"/>
    <cellStyle name="Normal 5 3 4 4 3" xfId="5236" xr:uid="{00000000-0005-0000-0000-0000531A0000}"/>
    <cellStyle name="Normal 5 3 4 5" xfId="1341" xr:uid="{00000000-0005-0000-0000-0000541A0000}"/>
    <cellStyle name="Normal 5 3 4 5 2" xfId="3571" xr:uid="{00000000-0005-0000-0000-0000551A0000}"/>
    <cellStyle name="Normal 5 3 4 5 2 2" xfId="7794" xr:uid="{00000000-0005-0000-0000-0000561A0000}"/>
    <cellStyle name="Normal 5 3 4 5 3" xfId="5649" xr:uid="{00000000-0005-0000-0000-0000571A0000}"/>
    <cellStyle name="Normal 5 3 4 6" xfId="1754" xr:uid="{00000000-0005-0000-0000-0000581A0000}"/>
    <cellStyle name="Normal 5 3 4 6 2" xfId="3984" xr:uid="{00000000-0005-0000-0000-0000591A0000}"/>
    <cellStyle name="Normal 5 3 4 6 2 2" xfId="8207" xr:uid="{00000000-0005-0000-0000-00005A1A0000}"/>
    <cellStyle name="Normal 5 3 4 6 3" xfId="6062" xr:uid="{00000000-0005-0000-0000-00005B1A0000}"/>
    <cellStyle name="Normal 5 3 4 7" xfId="2168" xr:uid="{00000000-0005-0000-0000-00005C1A0000}"/>
    <cellStyle name="Normal 5 3 4 7 2" xfId="4397" xr:uid="{00000000-0005-0000-0000-00005D1A0000}"/>
    <cellStyle name="Normal 5 3 4 7 2 2" xfId="8620" xr:uid="{00000000-0005-0000-0000-00005E1A0000}"/>
    <cellStyle name="Normal 5 3 4 7 3" xfId="6475" xr:uid="{00000000-0005-0000-0000-00005F1A0000}"/>
    <cellStyle name="Normal 5 3 4 8" xfId="2604" xr:uid="{00000000-0005-0000-0000-0000601A0000}"/>
    <cellStyle name="Normal 5 3 4 8 2" xfId="6888" xr:uid="{00000000-0005-0000-0000-0000611A0000}"/>
    <cellStyle name="Normal 5 3 4 9" xfId="4823"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6" xr:uid="{00000000-0005-0000-0000-0000671A0000}"/>
    <cellStyle name="Normal 5 3 5 2 2 3" xfId="5241" xr:uid="{00000000-0005-0000-0000-0000681A0000}"/>
    <cellStyle name="Normal 5 3 5 2 3" xfId="1346" xr:uid="{00000000-0005-0000-0000-0000691A0000}"/>
    <cellStyle name="Normal 5 3 5 2 3 2" xfId="3576" xr:uid="{00000000-0005-0000-0000-00006A1A0000}"/>
    <cellStyle name="Normal 5 3 5 2 3 2 2" xfId="7799" xr:uid="{00000000-0005-0000-0000-00006B1A0000}"/>
    <cellStyle name="Normal 5 3 5 2 3 3" xfId="5654" xr:uid="{00000000-0005-0000-0000-00006C1A0000}"/>
    <cellStyle name="Normal 5 3 5 2 4" xfId="1759" xr:uid="{00000000-0005-0000-0000-00006D1A0000}"/>
    <cellStyle name="Normal 5 3 5 2 4 2" xfId="3989" xr:uid="{00000000-0005-0000-0000-00006E1A0000}"/>
    <cellStyle name="Normal 5 3 5 2 4 2 2" xfId="8212" xr:uid="{00000000-0005-0000-0000-00006F1A0000}"/>
    <cellStyle name="Normal 5 3 5 2 4 3" xfId="6067" xr:uid="{00000000-0005-0000-0000-0000701A0000}"/>
    <cellStyle name="Normal 5 3 5 2 5" xfId="2173" xr:uid="{00000000-0005-0000-0000-0000711A0000}"/>
    <cellStyle name="Normal 5 3 5 2 5 2" xfId="4402" xr:uid="{00000000-0005-0000-0000-0000721A0000}"/>
    <cellStyle name="Normal 5 3 5 2 5 2 2" xfId="8625" xr:uid="{00000000-0005-0000-0000-0000731A0000}"/>
    <cellStyle name="Normal 5 3 5 2 5 3" xfId="6480" xr:uid="{00000000-0005-0000-0000-0000741A0000}"/>
    <cellStyle name="Normal 5 3 5 2 6" xfId="2609" xr:uid="{00000000-0005-0000-0000-0000751A0000}"/>
    <cellStyle name="Normal 5 3 5 2 6 2" xfId="6893" xr:uid="{00000000-0005-0000-0000-0000761A0000}"/>
    <cellStyle name="Normal 5 3 5 2 7" xfId="4828" xr:uid="{00000000-0005-0000-0000-0000771A0000}"/>
    <cellStyle name="Normal 5 3 5 3" xfId="928" xr:uid="{00000000-0005-0000-0000-0000781A0000}"/>
    <cellStyle name="Normal 5 3 5 3 2" xfId="3162" xr:uid="{00000000-0005-0000-0000-0000791A0000}"/>
    <cellStyle name="Normal 5 3 5 3 2 2" xfId="7385" xr:uid="{00000000-0005-0000-0000-00007A1A0000}"/>
    <cellStyle name="Normal 5 3 5 3 3" xfId="5240" xr:uid="{00000000-0005-0000-0000-00007B1A0000}"/>
    <cellStyle name="Normal 5 3 5 4" xfId="1345" xr:uid="{00000000-0005-0000-0000-00007C1A0000}"/>
    <cellStyle name="Normal 5 3 5 4 2" xfId="3575" xr:uid="{00000000-0005-0000-0000-00007D1A0000}"/>
    <cellStyle name="Normal 5 3 5 4 2 2" xfId="7798" xr:uid="{00000000-0005-0000-0000-00007E1A0000}"/>
    <cellStyle name="Normal 5 3 5 4 3" xfId="5653" xr:uid="{00000000-0005-0000-0000-00007F1A0000}"/>
    <cellStyle name="Normal 5 3 5 5" xfId="1758" xr:uid="{00000000-0005-0000-0000-0000801A0000}"/>
    <cellStyle name="Normal 5 3 5 5 2" xfId="3988" xr:uid="{00000000-0005-0000-0000-0000811A0000}"/>
    <cellStyle name="Normal 5 3 5 5 2 2" xfId="8211" xr:uid="{00000000-0005-0000-0000-0000821A0000}"/>
    <cellStyle name="Normal 5 3 5 5 3" xfId="6066" xr:uid="{00000000-0005-0000-0000-0000831A0000}"/>
    <cellStyle name="Normal 5 3 5 6" xfId="2172" xr:uid="{00000000-0005-0000-0000-0000841A0000}"/>
    <cellStyle name="Normal 5 3 5 6 2" xfId="4401" xr:uid="{00000000-0005-0000-0000-0000851A0000}"/>
    <cellStyle name="Normal 5 3 5 6 2 2" xfId="8624" xr:uid="{00000000-0005-0000-0000-0000861A0000}"/>
    <cellStyle name="Normal 5 3 5 6 3" xfId="6479" xr:uid="{00000000-0005-0000-0000-0000871A0000}"/>
    <cellStyle name="Normal 5 3 5 7" xfId="2608" xr:uid="{00000000-0005-0000-0000-0000881A0000}"/>
    <cellStyle name="Normal 5 3 5 7 2" xfId="6892" xr:uid="{00000000-0005-0000-0000-0000891A0000}"/>
    <cellStyle name="Normal 5 3 5 8" xfId="4827"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7" xr:uid="{00000000-0005-0000-0000-00008E1A0000}"/>
    <cellStyle name="Normal 5 3 6 2 3" xfId="5242" xr:uid="{00000000-0005-0000-0000-00008F1A0000}"/>
    <cellStyle name="Normal 5 3 6 3" xfId="1347" xr:uid="{00000000-0005-0000-0000-0000901A0000}"/>
    <cellStyle name="Normal 5 3 6 3 2" xfId="3577" xr:uid="{00000000-0005-0000-0000-0000911A0000}"/>
    <cellStyle name="Normal 5 3 6 3 2 2" xfId="7800" xr:uid="{00000000-0005-0000-0000-0000921A0000}"/>
    <cellStyle name="Normal 5 3 6 3 3" xfId="5655" xr:uid="{00000000-0005-0000-0000-0000931A0000}"/>
    <cellStyle name="Normal 5 3 6 4" xfId="1760" xr:uid="{00000000-0005-0000-0000-0000941A0000}"/>
    <cellStyle name="Normal 5 3 6 4 2" xfId="3990" xr:uid="{00000000-0005-0000-0000-0000951A0000}"/>
    <cellStyle name="Normal 5 3 6 4 2 2" xfId="8213" xr:uid="{00000000-0005-0000-0000-0000961A0000}"/>
    <cellStyle name="Normal 5 3 6 4 3" xfId="6068" xr:uid="{00000000-0005-0000-0000-0000971A0000}"/>
    <cellStyle name="Normal 5 3 6 5" xfId="2174" xr:uid="{00000000-0005-0000-0000-0000981A0000}"/>
    <cellStyle name="Normal 5 3 6 5 2" xfId="4403" xr:uid="{00000000-0005-0000-0000-0000991A0000}"/>
    <cellStyle name="Normal 5 3 6 5 2 2" xfId="8626" xr:uid="{00000000-0005-0000-0000-00009A1A0000}"/>
    <cellStyle name="Normal 5 3 6 5 3" xfId="6481" xr:uid="{00000000-0005-0000-0000-00009B1A0000}"/>
    <cellStyle name="Normal 5 3 6 6" xfId="2610" xr:uid="{00000000-0005-0000-0000-00009C1A0000}"/>
    <cellStyle name="Normal 5 3 6 6 2" xfId="6894" xr:uid="{00000000-0005-0000-0000-00009D1A0000}"/>
    <cellStyle name="Normal 5 3 6 7" xfId="4829" xr:uid="{00000000-0005-0000-0000-00009E1A0000}"/>
    <cellStyle name="Normal 5 3 7" xfId="914" xr:uid="{00000000-0005-0000-0000-00009F1A0000}"/>
    <cellStyle name="Normal 5 3 7 2" xfId="3149" xr:uid="{00000000-0005-0000-0000-0000A01A0000}"/>
    <cellStyle name="Normal 5 3 7 2 2" xfId="7372" xr:uid="{00000000-0005-0000-0000-0000A11A0000}"/>
    <cellStyle name="Normal 5 3 7 3" xfId="5227" xr:uid="{00000000-0005-0000-0000-0000A21A0000}"/>
    <cellStyle name="Normal 5 3 8" xfId="1332" xr:uid="{00000000-0005-0000-0000-0000A31A0000}"/>
    <cellStyle name="Normal 5 3 8 2" xfId="3562" xr:uid="{00000000-0005-0000-0000-0000A41A0000}"/>
    <cellStyle name="Normal 5 3 8 2 2" xfId="7785" xr:uid="{00000000-0005-0000-0000-0000A51A0000}"/>
    <cellStyle name="Normal 5 3 8 3" xfId="5640" xr:uid="{00000000-0005-0000-0000-0000A61A0000}"/>
    <cellStyle name="Normal 5 3 9" xfId="1745" xr:uid="{00000000-0005-0000-0000-0000A71A0000}"/>
    <cellStyle name="Normal 5 3 9 2" xfId="3975" xr:uid="{00000000-0005-0000-0000-0000A81A0000}"/>
    <cellStyle name="Normal 5 3 9 2 2" xfId="8198" xr:uid="{00000000-0005-0000-0000-0000A91A0000}"/>
    <cellStyle name="Normal 5 3 9 3" xfId="6053" xr:uid="{00000000-0005-0000-0000-0000AA1A0000}"/>
    <cellStyle name="Normal 5 4" xfId="456" xr:uid="{00000000-0005-0000-0000-0000AB1A0000}"/>
    <cellStyle name="Normal 5 4 10" xfId="4830"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1" xr:uid="{00000000-0005-0000-0000-0000B21A0000}"/>
    <cellStyle name="Normal 5 4 2 2 2 2 3" xfId="5246" xr:uid="{00000000-0005-0000-0000-0000B31A0000}"/>
    <cellStyle name="Normal 5 4 2 2 2 3" xfId="1351" xr:uid="{00000000-0005-0000-0000-0000B41A0000}"/>
    <cellStyle name="Normal 5 4 2 2 2 3 2" xfId="3581" xr:uid="{00000000-0005-0000-0000-0000B51A0000}"/>
    <cellStyle name="Normal 5 4 2 2 2 3 2 2" xfId="7804" xr:uid="{00000000-0005-0000-0000-0000B61A0000}"/>
    <cellStyle name="Normal 5 4 2 2 2 3 3" xfId="5659" xr:uid="{00000000-0005-0000-0000-0000B71A0000}"/>
    <cellStyle name="Normal 5 4 2 2 2 4" xfId="1764" xr:uid="{00000000-0005-0000-0000-0000B81A0000}"/>
    <cellStyle name="Normal 5 4 2 2 2 4 2" xfId="3994" xr:uid="{00000000-0005-0000-0000-0000B91A0000}"/>
    <cellStyle name="Normal 5 4 2 2 2 4 2 2" xfId="8217" xr:uid="{00000000-0005-0000-0000-0000BA1A0000}"/>
    <cellStyle name="Normal 5 4 2 2 2 4 3" xfId="6072" xr:uid="{00000000-0005-0000-0000-0000BB1A0000}"/>
    <cellStyle name="Normal 5 4 2 2 2 5" xfId="2178" xr:uid="{00000000-0005-0000-0000-0000BC1A0000}"/>
    <cellStyle name="Normal 5 4 2 2 2 5 2" xfId="4407" xr:uid="{00000000-0005-0000-0000-0000BD1A0000}"/>
    <cellStyle name="Normal 5 4 2 2 2 5 2 2" xfId="8630" xr:uid="{00000000-0005-0000-0000-0000BE1A0000}"/>
    <cellStyle name="Normal 5 4 2 2 2 5 3" xfId="6485" xr:uid="{00000000-0005-0000-0000-0000BF1A0000}"/>
    <cellStyle name="Normal 5 4 2 2 2 6" xfId="2614" xr:uid="{00000000-0005-0000-0000-0000C01A0000}"/>
    <cellStyle name="Normal 5 4 2 2 2 6 2" xfId="6898" xr:uid="{00000000-0005-0000-0000-0000C11A0000}"/>
    <cellStyle name="Normal 5 4 2 2 2 7" xfId="4833" xr:uid="{00000000-0005-0000-0000-0000C21A0000}"/>
    <cellStyle name="Normal 5 4 2 2 3" xfId="933" xr:uid="{00000000-0005-0000-0000-0000C31A0000}"/>
    <cellStyle name="Normal 5 4 2 2 3 2" xfId="3167" xr:uid="{00000000-0005-0000-0000-0000C41A0000}"/>
    <cellStyle name="Normal 5 4 2 2 3 2 2" xfId="7390" xr:uid="{00000000-0005-0000-0000-0000C51A0000}"/>
    <cellStyle name="Normal 5 4 2 2 3 3" xfId="5245" xr:uid="{00000000-0005-0000-0000-0000C61A0000}"/>
    <cellStyle name="Normal 5 4 2 2 4" xfId="1350" xr:uid="{00000000-0005-0000-0000-0000C71A0000}"/>
    <cellStyle name="Normal 5 4 2 2 4 2" xfId="3580" xr:uid="{00000000-0005-0000-0000-0000C81A0000}"/>
    <cellStyle name="Normal 5 4 2 2 4 2 2" xfId="7803" xr:uid="{00000000-0005-0000-0000-0000C91A0000}"/>
    <cellStyle name="Normal 5 4 2 2 4 3" xfId="5658" xr:uid="{00000000-0005-0000-0000-0000CA1A0000}"/>
    <cellStyle name="Normal 5 4 2 2 5" xfId="1763" xr:uid="{00000000-0005-0000-0000-0000CB1A0000}"/>
    <cellStyle name="Normal 5 4 2 2 5 2" xfId="3993" xr:uid="{00000000-0005-0000-0000-0000CC1A0000}"/>
    <cellStyle name="Normal 5 4 2 2 5 2 2" xfId="8216" xr:uid="{00000000-0005-0000-0000-0000CD1A0000}"/>
    <cellStyle name="Normal 5 4 2 2 5 3" xfId="6071" xr:uid="{00000000-0005-0000-0000-0000CE1A0000}"/>
    <cellStyle name="Normal 5 4 2 2 6" xfId="2177" xr:uid="{00000000-0005-0000-0000-0000CF1A0000}"/>
    <cellStyle name="Normal 5 4 2 2 6 2" xfId="4406" xr:uid="{00000000-0005-0000-0000-0000D01A0000}"/>
    <cellStyle name="Normal 5 4 2 2 6 2 2" xfId="8629" xr:uid="{00000000-0005-0000-0000-0000D11A0000}"/>
    <cellStyle name="Normal 5 4 2 2 6 3" xfId="6484" xr:uid="{00000000-0005-0000-0000-0000D21A0000}"/>
    <cellStyle name="Normal 5 4 2 2 7" xfId="2613" xr:uid="{00000000-0005-0000-0000-0000D31A0000}"/>
    <cellStyle name="Normal 5 4 2 2 7 2" xfId="6897" xr:uid="{00000000-0005-0000-0000-0000D41A0000}"/>
    <cellStyle name="Normal 5 4 2 2 8" xfId="4832"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2" xr:uid="{00000000-0005-0000-0000-0000D91A0000}"/>
    <cellStyle name="Normal 5 4 2 3 2 3" xfId="5247" xr:uid="{00000000-0005-0000-0000-0000DA1A0000}"/>
    <cellStyle name="Normal 5 4 2 3 3" xfId="1352" xr:uid="{00000000-0005-0000-0000-0000DB1A0000}"/>
    <cellStyle name="Normal 5 4 2 3 3 2" xfId="3582" xr:uid="{00000000-0005-0000-0000-0000DC1A0000}"/>
    <cellStyle name="Normal 5 4 2 3 3 2 2" xfId="7805" xr:uid="{00000000-0005-0000-0000-0000DD1A0000}"/>
    <cellStyle name="Normal 5 4 2 3 3 3" xfId="5660" xr:uid="{00000000-0005-0000-0000-0000DE1A0000}"/>
    <cellStyle name="Normal 5 4 2 3 4" xfId="1765" xr:uid="{00000000-0005-0000-0000-0000DF1A0000}"/>
    <cellStyle name="Normal 5 4 2 3 4 2" xfId="3995" xr:uid="{00000000-0005-0000-0000-0000E01A0000}"/>
    <cellStyle name="Normal 5 4 2 3 4 2 2" xfId="8218" xr:uid="{00000000-0005-0000-0000-0000E11A0000}"/>
    <cellStyle name="Normal 5 4 2 3 4 3" xfId="6073" xr:uid="{00000000-0005-0000-0000-0000E21A0000}"/>
    <cellStyle name="Normal 5 4 2 3 5" xfId="2179" xr:uid="{00000000-0005-0000-0000-0000E31A0000}"/>
    <cellStyle name="Normal 5 4 2 3 5 2" xfId="4408" xr:uid="{00000000-0005-0000-0000-0000E41A0000}"/>
    <cellStyle name="Normal 5 4 2 3 5 2 2" xfId="8631" xr:uid="{00000000-0005-0000-0000-0000E51A0000}"/>
    <cellStyle name="Normal 5 4 2 3 5 3" xfId="6486" xr:uid="{00000000-0005-0000-0000-0000E61A0000}"/>
    <cellStyle name="Normal 5 4 2 3 6" xfId="2615" xr:uid="{00000000-0005-0000-0000-0000E71A0000}"/>
    <cellStyle name="Normal 5 4 2 3 6 2" xfId="6899" xr:uid="{00000000-0005-0000-0000-0000E81A0000}"/>
    <cellStyle name="Normal 5 4 2 3 7" xfId="4834" xr:uid="{00000000-0005-0000-0000-0000E91A0000}"/>
    <cellStyle name="Normal 5 4 2 4" xfId="932" xr:uid="{00000000-0005-0000-0000-0000EA1A0000}"/>
    <cellStyle name="Normal 5 4 2 4 2" xfId="3166" xr:uid="{00000000-0005-0000-0000-0000EB1A0000}"/>
    <cellStyle name="Normal 5 4 2 4 2 2" xfId="7389" xr:uid="{00000000-0005-0000-0000-0000EC1A0000}"/>
    <cellStyle name="Normal 5 4 2 4 3" xfId="5244" xr:uid="{00000000-0005-0000-0000-0000ED1A0000}"/>
    <cellStyle name="Normal 5 4 2 5" xfId="1349" xr:uid="{00000000-0005-0000-0000-0000EE1A0000}"/>
    <cellStyle name="Normal 5 4 2 5 2" xfId="3579" xr:uid="{00000000-0005-0000-0000-0000EF1A0000}"/>
    <cellStyle name="Normal 5 4 2 5 2 2" xfId="7802" xr:uid="{00000000-0005-0000-0000-0000F01A0000}"/>
    <cellStyle name="Normal 5 4 2 5 3" xfId="5657" xr:uid="{00000000-0005-0000-0000-0000F11A0000}"/>
    <cellStyle name="Normal 5 4 2 6" xfId="1762" xr:uid="{00000000-0005-0000-0000-0000F21A0000}"/>
    <cellStyle name="Normal 5 4 2 6 2" xfId="3992" xr:uid="{00000000-0005-0000-0000-0000F31A0000}"/>
    <cellStyle name="Normal 5 4 2 6 2 2" xfId="8215" xr:uid="{00000000-0005-0000-0000-0000F41A0000}"/>
    <cellStyle name="Normal 5 4 2 6 3" xfId="6070" xr:uid="{00000000-0005-0000-0000-0000F51A0000}"/>
    <cellStyle name="Normal 5 4 2 7" xfId="2176" xr:uid="{00000000-0005-0000-0000-0000F61A0000}"/>
    <cellStyle name="Normal 5 4 2 7 2" xfId="4405" xr:uid="{00000000-0005-0000-0000-0000F71A0000}"/>
    <cellStyle name="Normal 5 4 2 7 2 2" xfId="8628" xr:uid="{00000000-0005-0000-0000-0000F81A0000}"/>
    <cellStyle name="Normal 5 4 2 7 3" xfId="6483" xr:uid="{00000000-0005-0000-0000-0000F91A0000}"/>
    <cellStyle name="Normal 5 4 2 8" xfId="2612" xr:uid="{00000000-0005-0000-0000-0000FA1A0000}"/>
    <cellStyle name="Normal 5 4 2 8 2" xfId="6896" xr:uid="{00000000-0005-0000-0000-0000FB1A0000}"/>
    <cellStyle name="Normal 5 4 2 9" xfId="4831"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4" xr:uid="{00000000-0005-0000-0000-0000011B0000}"/>
    <cellStyle name="Normal 5 4 3 2 2 3" xfId="5249" xr:uid="{00000000-0005-0000-0000-0000021B0000}"/>
    <cellStyle name="Normal 5 4 3 2 3" xfId="1354" xr:uid="{00000000-0005-0000-0000-0000031B0000}"/>
    <cellStyle name="Normal 5 4 3 2 3 2" xfId="3584" xr:uid="{00000000-0005-0000-0000-0000041B0000}"/>
    <cellStyle name="Normal 5 4 3 2 3 2 2" xfId="7807" xr:uid="{00000000-0005-0000-0000-0000051B0000}"/>
    <cellStyle name="Normal 5 4 3 2 3 3" xfId="5662" xr:uid="{00000000-0005-0000-0000-0000061B0000}"/>
    <cellStyle name="Normal 5 4 3 2 4" xfId="1767" xr:uid="{00000000-0005-0000-0000-0000071B0000}"/>
    <cellStyle name="Normal 5 4 3 2 4 2" xfId="3997" xr:uid="{00000000-0005-0000-0000-0000081B0000}"/>
    <cellStyle name="Normal 5 4 3 2 4 2 2" xfId="8220" xr:uid="{00000000-0005-0000-0000-0000091B0000}"/>
    <cellStyle name="Normal 5 4 3 2 4 3" xfId="6075" xr:uid="{00000000-0005-0000-0000-00000A1B0000}"/>
    <cellStyle name="Normal 5 4 3 2 5" xfId="2181" xr:uid="{00000000-0005-0000-0000-00000B1B0000}"/>
    <cellStyle name="Normal 5 4 3 2 5 2" xfId="4410" xr:uid="{00000000-0005-0000-0000-00000C1B0000}"/>
    <cellStyle name="Normal 5 4 3 2 5 2 2" xfId="8633" xr:uid="{00000000-0005-0000-0000-00000D1B0000}"/>
    <cellStyle name="Normal 5 4 3 2 5 3" xfId="6488" xr:uid="{00000000-0005-0000-0000-00000E1B0000}"/>
    <cellStyle name="Normal 5 4 3 2 6" xfId="2617" xr:uid="{00000000-0005-0000-0000-00000F1B0000}"/>
    <cellStyle name="Normal 5 4 3 2 6 2" xfId="6901" xr:uid="{00000000-0005-0000-0000-0000101B0000}"/>
    <cellStyle name="Normal 5 4 3 2 7" xfId="4836" xr:uid="{00000000-0005-0000-0000-0000111B0000}"/>
    <cellStyle name="Normal 5 4 3 3" xfId="936" xr:uid="{00000000-0005-0000-0000-0000121B0000}"/>
    <cellStyle name="Normal 5 4 3 3 2" xfId="3170" xr:uid="{00000000-0005-0000-0000-0000131B0000}"/>
    <cellStyle name="Normal 5 4 3 3 2 2" xfId="7393" xr:uid="{00000000-0005-0000-0000-0000141B0000}"/>
    <cellStyle name="Normal 5 4 3 3 3" xfId="5248" xr:uid="{00000000-0005-0000-0000-0000151B0000}"/>
    <cellStyle name="Normal 5 4 3 4" xfId="1353" xr:uid="{00000000-0005-0000-0000-0000161B0000}"/>
    <cellStyle name="Normal 5 4 3 4 2" xfId="3583" xr:uid="{00000000-0005-0000-0000-0000171B0000}"/>
    <cellStyle name="Normal 5 4 3 4 2 2" xfId="7806" xr:uid="{00000000-0005-0000-0000-0000181B0000}"/>
    <cellStyle name="Normal 5 4 3 4 3" xfId="5661" xr:uid="{00000000-0005-0000-0000-0000191B0000}"/>
    <cellStyle name="Normal 5 4 3 5" xfId="1766" xr:uid="{00000000-0005-0000-0000-00001A1B0000}"/>
    <cellStyle name="Normal 5 4 3 5 2" xfId="3996" xr:uid="{00000000-0005-0000-0000-00001B1B0000}"/>
    <cellStyle name="Normal 5 4 3 5 2 2" xfId="8219" xr:uid="{00000000-0005-0000-0000-00001C1B0000}"/>
    <cellStyle name="Normal 5 4 3 5 3" xfId="6074" xr:uid="{00000000-0005-0000-0000-00001D1B0000}"/>
    <cellStyle name="Normal 5 4 3 6" xfId="2180" xr:uid="{00000000-0005-0000-0000-00001E1B0000}"/>
    <cellStyle name="Normal 5 4 3 6 2" xfId="4409" xr:uid="{00000000-0005-0000-0000-00001F1B0000}"/>
    <cellStyle name="Normal 5 4 3 6 2 2" xfId="8632" xr:uid="{00000000-0005-0000-0000-0000201B0000}"/>
    <cellStyle name="Normal 5 4 3 6 3" xfId="6487" xr:uid="{00000000-0005-0000-0000-0000211B0000}"/>
    <cellStyle name="Normal 5 4 3 7" xfId="2616" xr:uid="{00000000-0005-0000-0000-0000221B0000}"/>
    <cellStyle name="Normal 5 4 3 7 2" xfId="6900" xr:uid="{00000000-0005-0000-0000-0000231B0000}"/>
    <cellStyle name="Normal 5 4 3 8" xfId="4835"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5" xr:uid="{00000000-0005-0000-0000-0000281B0000}"/>
    <cellStyle name="Normal 5 4 4 2 3" xfId="5250" xr:uid="{00000000-0005-0000-0000-0000291B0000}"/>
    <cellStyle name="Normal 5 4 4 3" xfId="1355" xr:uid="{00000000-0005-0000-0000-00002A1B0000}"/>
    <cellStyle name="Normal 5 4 4 3 2" xfId="3585" xr:uid="{00000000-0005-0000-0000-00002B1B0000}"/>
    <cellStyle name="Normal 5 4 4 3 2 2" xfId="7808" xr:uid="{00000000-0005-0000-0000-00002C1B0000}"/>
    <cellStyle name="Normal 5 4 4 3 3" xfId="5663" xr:uid="{00000000-0005-0000-0000-00002D1B0000}"/>
    <cellStyle name="Normal 5 4 4 4" xfId="1768" xr:uid="{00000000-0005-0000-0000-00002E1B0000}"/>
    <cellStyle name="Normal 5 4 4 4 2" xfId="3998" xr:uid="{00000000-0005-0000-0000-00002F1B0000}"/>
    <cellStyle name="Normal 5 4 4 4 2 2" xfId="8221" xr:uid="{00000000-0005-0000-0000-0000301B0000}"/>
    <cellStyle name="Normal 5 4 4 4 3" xfId="6076" xr:uid="{00000000-0005-0000-0000-0000311B0000}"/>
    <cellStyle name="Normal 5 4 4 5" xfId="2182" xr:uid="{00000000-0005-0000-0000-0000321B0000}"/>
    <cellStyle name="Normal 5 4 4 5 2" xfId="4411" xr:uid="{00000000-0005-0000-0000-0000331B0000}"/>
    <cellStyle name="Normal 5 4 4 5 2 2" xfId="8634" xr:uid="{00000000-0005-0000-0000-0000341B0000}"/>
    <cellStyle name="Normal 5 4 4 5 3" xfId="6489" xr:uid="{00000000-0005-0000-0000-0000351B0000}"/>
    <cellStyle name="Normal 5 4 4 6" xfId="2618" xr:uid="{00000000-0005-0000-0000-0000361B0000}"/>
    <cellStyle name="Normal 5 4 4 6 2" xfId="6902" xr:uid="{00000000-0005-0000-0000-0000371B0000}"/>
    <cellStyle name="Normal 5 4 4 7" xfId="4837" xr:uid="{00000000-0005-0000-0000-0000381B0000}"/>
    <cellStyle name="Normal 5 4 5" xfId="931" xr:uid="{00000000-0005-0000-0000-0000391B0000}"/>
    <cellStyle name="Normal 5 4 5 2" xfId="3165" xr:uid="{00000000-0005-0000-0000-00003A1B0000}"/>
    <cellStyle name="Normal 5 4 5 2 2" xfId="7388" xr:uid="{00000000-0005-0000-0000-00003B1B0000}"/>
    <cellStyle name="Normal 5 4 5 3" xfId="5243" xr:uid="{00000000-0005-0000-0000-00003C1B0000}"/>
    <cellStyle name="Normal 5 4 6" xfId="1348" xr:uid="{00000000-0005-0000-0000-00003D1B0000}"/>
    <cellStyle name="Normal 5 4 6 2" xfId="3578" xr:uid="{00000000-0005-0000-0000-00003E1B0000}"/>
    <cellStyle name="Normal 5 4 6 2 2" xfId="7801" xr:uid="{00000000-0005-0000-0000-00003F1B0000}"/>
    <cellStyle name="Normal 5 4 6 3" xfId="5656" xr:uid="{00000000-0005-0000-0000-0000401B0000}"/>
    <cellStyle name="Normal 5 4 7" xfId="1761" xr:uid="{00000000-0005-0000-0000-0000411B0000}"/>
    <cellStyle name="Normal 5 4 7 2" xfId="3991" xr:uid="{00000000-0005-0000-0000-0000421B0000}"/>
    <cellStyle name="Normal 5 4 7 2 2" xfId="8214" xr:uid="{00000000-0005-0000-0000-0000431B0000}"/>
    <cellStyle name="Normal 5 4 7 3" xfId="6069" xr:uid="{00000000-0005-0000-0000-0000441B0000}"/>
    <cellStyle name="Normal 5 4 8" xfId="2175" xr:uid="{00000000-0005-0000-0000-0000451B0000}"/>
    <cellStyle name="Normal 5 4 8 2" xfId="4404" xr:uid="{00000000-0005-0000-0000-0000461B0000}"/>
    <cellStyle name="Normal 5 4 8 2 2" xfId="8627" xr:uid="{00000000-0005-0000-0000-0000471B0000}"/>
    <cellStyle name="Normal 5 4 8 3" xfId="6482" xr:uid="{00000000-0005-0000-0000-0000481B0000}"/>
    <cellStyle name="Normal 5 4 9" xfId="2611" xr:uid="{00000000-0005-0000-0000-0000491B0000}"/>
    <cellStyle name="Normal 5 4 9 2" xfId="6895"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8" xr:uid="{00000000-0005-0000-0000-0000501B0000}"/>
    <cellStyle name="Normal 5 5 2 2 2 3" xfId="5253" xr:uid="{00000000-0005-0000-0000-0000511B0000}"/>
    <cellStyle name="Normal 5 5 2 2 3" xfId="1358" xr:uid="{00000000-0005-0000-0000-0000521B0000}"/>
    <cellStyle name="Normal 5 5 2 2 3 2" xfId="3588" xr:uid="{00000000-0005-0000-0000-0000531B0000}"/>
    <cellStyle name="Normal 5 5 2 2 3 2 2" xfId="7811" xr:uid="{00000000-0005-0000-0000-0000541B0000}"/>
    <cellStyle name="Normal 5 5 2 2 3 3" xfId="5666" xr:uid="{00000000-0005-0000-0000-0000551B0000}"/>
    <cellStyle name="Normal 5 5 2 2 4" xfId="1771" xr:uid="{00000000-0005-0000-0000-0000561B0000}"/>
    <cellStyle name="Normal 5 5 2 2 4 2" xfId="4001" xr:uid="{00000000-0005-0000-0000-0000571B0000}"/>
    <cellStyle name="Normal 5 5 2 2 4 2 2" xfId="8224" xr:uid="{00000000-0005-0000-0000-0000581B0000}"/>
    <cellStyle name="Normal 5 5 2 2 4 3" xfId="6079" xr:uid="{00000000-0005-0000-0000-0000591B0000}"/>
    <cellStyle name="Normal 5 5 2 2 5" xfId="2185" xr:uid="{00000000-0005-0000-0000-00005A1B0000}"/>
    <cellStyle name="Normal 5 5 2 2 5 2" xfId="4414" xr:uid="{00000000-0005-0000-0000-00005B1B0000}"/>
    <cellStyle name="Normal 5 5 2 2 5 2 2" xfId="8637" xr:uid="{00000000-0005-0000-0000-00005C1B0000}"/>
    <cellStyle name="Normal 5 5 2 2 5 3" xfId="6492" xr:uid="{00000000-0005-0000-0000-00005D1B0000}"/>
    <cellStyle name="Normal 5 5 2 2 6" xfId="2621" xr:uid="{00000000-0005-0000-0000-00005E1B0000}"/>
    <cellStyle name="Normal 5 5 2 2 6 2" xfId="6905" xr:uid="{00000000-0005-0000-0000-00005F1B0000}"/>
    <cellStyle name="Normal 5 5 2 2 7" xfId="4840" xr:uid="{00000000-0005-0000-0000-0000601B0000}"/>
    <cellStyle name="Normal 5 5 2 3" xfId="940" xr:uid="{00000000-0005-0000-0000-0000611B0000}"/>
    <cellStyle name="Normal 5 5 2 3 2" xfId="3174" xr:uid="{00000000-0005-0000-0000-0000621B0000}"/>
    <cellStyle name="Normal 5 5 2 3 2 2" xfId="7397" xr:uid="{00000000-0005-0000-0000-0000631B0000}"/>
    <cellStyle name="Normal 5 5 2 3 3" xfId="5252" xr:uid="{00000000-0005-0000-0000-0000641B0000}"/>
    <cellStyle name="Normal 5 5 2 4" xfId="1357" xr:uid="{00000000-0005-0000-0000-0000651B0000}"/>
    <cellStyle name="Normal 5 5 2 4 2" xfId="3587" xr:uid="{00000000-0005-0000-0000-0000661B0000}"/>
    <cellStyle name="Normal 5 5 2 4 2 2" xfId="7810" xr:uid="{00000000-0005-0000-0000-0000671B0000}"/>
    <cellStyle name="Normal 5 5 2 4 3" xfId="5665" xr:uid="{00000000-0005-0000-0000-0000681B0000}"/>
    <cellStyle name="Normal 5 5 2 5" xfId="1770" xr:uid="{00000000-0005-0000-0000-0000691B0000}"/>
    <cellStyle name="Normal 5 5 2 5 2" xfId="4000" xr:uid="{00000000-0005-0000-0000-00006A1B0000}"/>
    <cellStyle name="Normal 5 5 2 5 2 2" xfId="8223" xr:uid="{00000000-0005-0000-0000-00006B1B0000}"/>
    <cellStyle name="Normal 5 5 2 5 3" xfId="6078" xr:uid="{00000000-0005-0000-0000-00006C1B0000}"/>
    <cellStyle name="Normal 5 5 2 6" xfId="2184" xr:uid="{00000000-0005-0000-0000-00006D1B0000}"/>
    <cellStyle name="Normal 5 5 2 6 2" xfId="4413" xr:uid="{00000000-0005-0000-0000-00006E1B0000}"/>
    <cellStyle name="Normal 5 5 2 6 2 2" xfId="8636" xr:uid="{00000000-0005-0000-0000-00006F1B0000}"/>
    <cellStyle name="Normal 5 5 2 6 3" xfId="6491" xr:uid="{00000000-0005-0000-0000-0000701B0000}"/>
    <cellStyle name="Normal 5 5 2 7" xfId="2620" xr:uid="{00000000-0005-0000-0000-0000711B0000}"/>
    <cellStyle name="Normal 5 5 2 7 2" xfId="6904" xr:uid="{00000000-0005-0000-0000-0000721B0000}"/>
    <cellStyle name="Normal 5 5 2 8" xfId="4839"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399" xr:uid="{00000000-0005-0000-0000-0000771B0000}"/>
    <cellStyle name="Normal 5 5 3 2 3" xfId="5254" xr:uid="{00000000-0005-0000-0000-0000781B0000}"/>
    <cellStyle name="Normal 5 5 3 3" xfId="1359" xr:uid="{00000000-0005-0000-0000-0000791B0000}"/>
    <cellStyle name="Normal 5 5 3 3 2" xfId="3589" xr:uid="{00000000-0005-0000-0000-00007A1B0000}"/>
    <cellStyle name="Normal 5 5 3 3 2 2" xfId="7812" xr:uid="{00000000-0005-0000-0000-00007B1B0000}"/>
    <cellStyle name="Normal 5 5 3 3 3" xfId="5667" xr:uid="{00000000-0005-0000-0000-00007C1B0000}"/>
    <cellStyle name="Normal 5 5 3 4" xfId="1772" xr:uid="{00000000-0005-0000-0000-00007D1B0000}"/>
    <cellStyle name="Normal 5 5 3 4 2" xfId="4002" xr:uid="{00000000-0005-0000-0000-00007E1B0000}"/>
    <cellStyle name="Normal 5 5 3 4 2 2" xfId="8225" xr:uid="{00000000-0005-0000-0000-00007F1B0000}"/>
    <cellStyle name="Normal 5 5 3 4 3" xfId="6080" xr:uid="{00000000-0005-0000-0000-0000801B0000}"/>
    <cellStyle name="Normal 5 5 3 5" xfId="2186" xr:uid="{00000000-0005-0000-0000-0000811B0000}"/>
    <cellStyle name="Normal 5 5 3 5 2" xfId="4415" xr:uid="{00000000-0005-0000-0000-0000821B0000}"/>
    <cellStyle name="Normal 5 5 3 5 2 2" xfId="8638" xr:uid="{00000000-0005-0000-0000-0000831B0000}"/>
    <cellStyle name="Normal 5 5 3 5 3" xfId="6493" xr:uid="{00000000-0005-0000-0000-0000841B0000}"/>
    <cellStyle name="Normal 5 5 3 6" xfId="2622" xr:uid="{00000000-0005-0000-0000-0000851B0000}"/>
    <cellStyle name="Normal 5 5 3 6 2" xfId="6906" xr:uid="{00000000-0005-0000-0000-0000861B0000}"/>
    <cellStyle name="Normal 5 5 3 7" xfId="4841" xr:uid="{00000000-0005-0000-0000-0000871B0000}"/>
    <cellStyle name="Normal 5 5 4" xfId="939" xr:uid="{00000000-0005-0000-0000-0000881B0000}"/>
    <cellStyle name="Normal 5 5 4 2" xfId="3173" xr:uid="{00000000-0005-0000-0000-0000891B0000}"/>
    <cellStyle name="Normal 5 5 4 2 2" xfId="7396" xr:uid="{00000000-0005-0000-0000-00008A1B0000}"/>
    <cellStyle name="Normal 5 5 4 3" xfId="5251" xr:uid="{00000000-0005-0000-0000-00008B1B0000}"/>
    <cellStyle name="Normal 5 5 5" xfId="1356" xr:uid="{00000000-0005-0000-0000-00008C1B0000}"/>
    <cellStyle name="Normal 5 5 5 2" xfId="3586" xr:uid="{00000000-0005-0000-0000-00008D1B0000}"/>
    <cellStyle name="Normal 5 5 5 2 2" xfId="7809" xr:uid="{00000000-0005-0000-0000-00008E1B0000}"/>
    <cellStyle name="Normal 5 5 5 3" xfId="5664" xr:uid="{00000000-0005-0000-0000-00008F1B0000}"/>
    <cellStyle name="Normal 5 5 6" xfId="1769" xr:uid="{00000000-0005-0000-0000-0000901B0000}"/>
    <cellStyle name="Normal 5 5 6 2" xfId="3999" xr:uid="{00000000-0005-0000-0000-0000911B0000}"/>
    <cellStyle name="Normal 5 5 6 2 2" xfId="8222" xr:uid="{00000000-0005-0000-0000-0000921B0000}"/>
    <cellStyle name="Normal 5 5 6 3" xfId="6077" xr:uid="{00000000-0005-0000-0000-0000931B0000}"/>
    <cellStyle name="Normal 5 5 7" xfId="2183" xr:uid="{00000000-0005-0000-0000-0000941B0000}"/>
    <cellStyle name="Normal 5 5 7 2" xfId="4412" xr:uid="{00000000-0005-0000-0000-0000951B0000}"/>
    <cellStyle name="Normal 5 5 7 2 2" xfId="8635" xr:uid="{00000000-0005-0000-0000-0000961B0000}"/>
    <cellStyle name="Normal 5 5 7 3" xfId="6490" xr:uid="{00000000-0005-0000-0000-0000971B0000}"/>
    <cellStyle name="Normal 5 5 8" xfId="2619" xr:uid="{00000000-0005-0000-0000-0000981B0000}"/>
    <cellStyle name="Normal 5 5 8 2" xfId="6903" xr:uid="{00000000-0005-0000-0000-0000991B0000}"/>
    <cellStyle name="Normal 5 5 9" xfId="4838"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1" xr:uid="{00000000-0005-0000-0000-00009F1B0000}"/>
    <cellStyle name="Normal 5 6 2 2 3" xfId="5256" xr:uid="{00000000-0005-0000-0000-0000A01B0000}"/>
    <cellStyle name="Normal 5 6 2 3" xfId="1361" xr:uid="{00000000-0005-0000-0000-0000A11B0000}"/>
    <cellStyle name="Normal 5 6 2 3 2" xfId="3591" xr:uid="{00000000-0005-0000-0000-0000A21B0000}"/>
    <cellStyle name="Normal 5 6 2 3 2 2" xfId="7814" xr:uid="{00000000-0005-0000-0000-0000A31B0000}"/>
    <cellStyle name="Normal 5 6 2 3 3" xfId="5669" xr:uid="{00000000-0005-0000-0000-0000A41B0000}"/>
    <cellStyle name="Normal 5 6 2 4" xfId="1774" xr:uid="{00000000-0005-0000-0000-0000A51B0000}"/>
    <cellStyle name="Normal 5 6 2 4 2" xfId="4004" xr:uid="{00000000-0005-0000-0000-0000A61B0000}"/>
    <cellStyle name="Normal 5 6 2 4 2 2" xfId="8227" xr:uid="{00000000-0005-0000-0000-0000A71B0000}"/>
    <cellStyle name="Normal 5 6 2 4 3" xfId="6082" xr:uid="{00000000-0005-0000-0000-0000A81B0000}"/>
    <cellStyle name="Normal 5 6 2 5" xfId="2188" xr:uid="{00000000-0005-0000-0000-0000A91B0000}"/>
    <cellStyle name="Normal 5 6 2 5 2" xfId="4417" xr:uid="{00000000-0005-0000-0000-0000AA1B0000}"/>
    <cellStyle name="Normal 5 6 2 5 2 2" xfId="8640" xr:uid="{00000000-0005-0000-0000-0000AB1B0000}"/>
    <cellStyle name="Normal 5 6 2 5 3" xfId="6495" xr:uid="{00000000-0005-0000-0000-0000AC1B0000}"/>
    <cellStyle name="Normal 5 6 2 6" xfId="2624" xr:uid="{00000000-0005-0000-0000-0000AD1B0000}"/>
    <cellStyle name="Normal 5 6 2 6 2" xfId="6908" xr:uid="{00000000-0005-0000-0000-0000AE1B0000}"/>
    <cellStyle name="Normal 5 6 2 7" xfId="4843" xr:uid="{00000000-0005-0000-0000-0000AF1B0000}"/>
    <cellStyle name="Normal 5 6 3" xfId="943" xr:uid="{00000000-0005-0000-0000-0000B01B0000}"/>
    <cellStyle name="Normal 5 6 3 2" xfId="3177" xr:uid="{00000000-0005-0000-0000-0000B11B0000}"/>
    <cellStyle name="Normal 5 6 3 2 2" xfId="7400" xr:uid="{00000000-0005-0000-0000-0000B21B0000}"/>
    <cellStyle name="Normal 5 6 3 3" xfId="5255" xr:uid="{00000000-0005-0000-0000-0000B31B0000}"/>
    <cellStyle name="Normal 5 6 4" xfId="1360" xr:uid="{00000000-0005-0000-0000-0000B41B0000}"/>
    <cellStyle name="Normal 5 6 4 2" xfId="3590" xr:uid="{00000000-0005-0000-0000-0000B51B0000}"/>
    <cellStyle name="Normal 5 6 4 2 2" xfId="7813" xr:uid="{00000000-0005-0000-0000-0000B61B0000}"/>
    <cellStyle name="Normal 5 6 4 3" xfId="5668" xr:uid="{00000000-0005-0000-0000-0000B71B0000}"/>
    <cellStyle name="Normal 5 6 5" xfId="1773" xr:uid="{00000000-0005-0000-0000-0000B81B0000}"/>
    <cellStyle name="Normal 5 6 5 2" xfId="4003" xr:uid="{00000000-0005-0000-0000-0000B91B0000}"/>
    <cellStyle name="Normal 5 6 5 2 2" xfId="8226" xr:uid="{00000000-0005-0000-0000-0000BA1B0000}"/>
    <cellStyle name="Normal 5 6 5 3" xfId="6081" xr:uid="{00000000-0005-0000-0000-0000BB1B0000}"/>
    <cellStyle name="Normal 5 6 6" xfId="2187" xr:uid="{00000000-0005-0000-0000-0000BC1B0000}"/>
    <cellStyle name="Normal 5 6 6 2" xfId="4416" xr:uid="{00000000-0005-0000-0000-0000BD1B0000}"/>
    <cellStyle name="Normal 5 6 6 2 2" xfId="8639" xr:uid="{00000000-0005-0000-0000-0000BE1B0000}"/>
    <cellStyle name="Normal 5 6 6 3" xfId="6494" xr:uid="{00000000-0005-0000-0000-0000BF1B0000}"/>
    <cellStyle name="Normal 5 6 7" xfId="2623" xr:uid="{00000000-0005-0000-0000-0000C01B0000}"/>
    <cellStyle name="Normal 5 6 7 2" xfId="6907" xr:uid="{00000000-0005-0000-0000-0000C11B0000}"/>
    <cellStyle name="Normal 5 6 8" xfId="4842"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2" xr:uid="{00000000-0005-0000-0000-0000C61B0000}"/>
    <cellStyle name="Normal 5 7 2 3" xfId="5257" xr:uid="{00000000-0005-0000-0000-0000C71B0000}"/>
    <cellStyle name="Normal 5 7 3" xfId="1362" xr:uid="{00000000-0005-0000-0000-0000C81B0000}"/>
    <cellStyle name="Normal 5 7 3 2" xfId="3592" xr:uid="{00000000-0005-0000-0000-0000C91B0000}"/>
    <cellStyle name="Normal 5 7 3 2 2" xfId="7815" xr:uid="{00000000-0005-0000-0000-0000CA1B0000}"/>
    <cellStyle name="Normal 5 7 3 3" xfId="5670" xr:uid="{00000000-0005-0000-0000-0000CB1B0000}"/>
    <cellStyle name="Normal 5 7 4" xfId="1775" xr:uid="{00000000-0005-0000-0000-0000CC1B0000}"/>
    <cellStyle name="Normal 5 7 4 2" xfId="4005" xr:uid="{00000000-0005-0000-0000-0000CD1B0000}"/>
    <cellStyle name="Normal 5 7 4 2 2" xfId="8228" xr:uid="{00000000-0005-0000-0000-0000CE1B0000}"/>
    <cellStyle name="Normal 5 7 4 3" xfId="6083" xr:uid="{00000000-0005-0000-0000-0000CF1B0000}"/>
    <cellStyle name="Normal 5 7 5" xfId="2189" xr:uid="{00000000-0005-0000-0000-0000D01B0000}"/>
    <cellStyle name="Normal 5 7 5 2" xfId="4418" xr:uid="{00000000-0005-0000-0000-0000D11B0000}"/>
    <cellStyle name="Normal 5 7 5 2 2" xfId="8641" xr:uid="{00000000-0005-0000-0000-0000D21B0000}"/>
    <cellStyle name="Normal 5 7 5 3" xfId="6496" xr:uid="{00000000-0005-0000-0000-0000D31B0000}"/>
    <cellStyle name="Normal 5 7 6" xfId="2625" xr:uid="{00000000-0005-0000-0000-0000D41B0000}"/>
    <cellStyle name="Normal 5 7 6 2" xfId="6909" xr:uid="{00000000-0005-0000-0000-0000D51B0000}"/>
    <cellStyle name="Normal 5 7 7" xfId="4844" xr:uid="{00000000-0005-0000-0000-0000D61B0000}"/>
    <cellStyle name="Normal 5 8" xfId="881" xr:uid="{00000000-0005-0000-0000-0000D71B0000}"/>
    <cellStyle name="Normal 5 8 2" xfId="3116" xr:uid="{00000000-0005-0000-0000-0000D81B0000}"/>
    <cellStyle name="Normal 5 8 2 2" xfId="7339" xr:uid="{00000000-0005-0000-0000-0000D91B0000}"/>
    <cellStyle name="Normal 5 8 3" xfId="5194" xr:uid="{00000000-0005-0000-0000-0000DA1B0000}"/>
    <cellStyle name="Normal 5 9" xfId="1299" xr:uid="{00000000-0005-0000-0000-0000DB1B0000}"/>
    <cellStyle name="Normal 5 9 2" xfId="3529" xr:uid="{00000000-0005-0000-0000-0000DC1B0000}"/>
    <cellStyle name="Normal 5 9 2 2" xfId="7752" xr:uid="{00000000-0005-0000-0000-0000DD1B0000}"/>
    <cellStyle name="Normal 5 9 3" xfId="5607"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2" xr:uid="{00000000-0005-0000-0000-0000E91B0000}"/>
    <cellStyle name="Normal 8 10 3" xfId="6497" xr:uid="{00000000-0005-0000-0000-0000EA1B0000}"/>
    <cellStyle name="Normal 8 11" xfId="2626" xr:uid="{00000000-0005-0000-0000-0000EB1B0000}"/>
    <cellStyle name="Normal 8 11 2" xfId="6910" xr:uid="{00000000-0005-0000-0000-0000EC1B0000}"/>
    <cellStyle name="Normal 8 12" xfId="4845" xr:uid="{00000000-0005-0000-0000-0000ED1B0000}"/>
    <cellStyle name="Normal 8 2" xfId="479" xr:uid="{00000000-0005-0000-0000-0000EE1B0000}"/>
    <cellStyle name="Normal 8 2 10" xfId="2627" xr:uid="{00000000-0005-0000-0000-0000EF1B0000}"/>
    <cellStyle name="Normal 8 2 10 2" xfId="6911" xr:uid="{00000000-0005-0000-0000-0000F01B0000}"/>
    <cellStyle name="Normal 8 2 11" xfId="4846" xr:uid="{00000000-0005-0000-0000-0000F11B0000}"/>
    <cellStyle name="Normal 8 2 2" xfId="480" xr:uid="{00000000-0005-0000-0000-0000F21B0000}"/>
    <cellStyle name="Normal 8 2 2 10" xfId="4847"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8" xr:uid="{00000000-0005-0000-0000-0000F91B0000}"/>
    <cellStyle name="Normal 8 2 2 2 2 2 2 3" xfId="5263" xr:uid="{00000000-0005-0000-0000-0000FA1B0000}"/>
    <cellStyle name="Normal 8 2 2 2 2 2 3" xfId="1368" xr:uid="{00000000-0005-0000-0000-0000FB1B0000}"/>
    <cellStyle name="Normal 8 2 2 2 2 2 3 2" xfId="3598" xr:uid="{00000000-0005-0000-0000-0000FC1B0000}"/>
    <cellStyle name="Normal 8 2 2 2 2 2 3 2 2" xfId="7821" xr:uid="{00000000-0005-0000-0000-0000FD1B0000}"/>
    <cellStyle name="Normal 8 2 2 2 2 2 3 3" xfId="5676" xr:uid="{00000000-0005-0000-0000-0000FE1B0000}"/>
    <cellStyle name="Normal 8 2 2 2 2 2 4" xfId="1781" xr:uid="{00000000-0005-0000-0000-0000FF1B0000}"/>
    <cellStyle name="Normal 8 2 2 2 2 2 4 2" xfId="4011" xr:uid="{00000000-0005-0000-0000-0000001C0000}"/>
    <cellStyle name="Normal 8 2 2 2 2 2 4 2 2" xfId="8234" xr:uid="{00000000-0005-0000-0000-0000011C0000}"/>
    <cellStyle name="Normal 8 2 2 2 2 2 4 3" xfId="6089" xr:uid="{00000000-0005-0000-0000-0000021C0000}"/>
    <cellStyle name="Normal 8 2 2 2 2 2 5" xfId="2195" xr:uid="{00000000-0005-0000-0000-0000031C0000}"/>
    <cellStyle name="Normal 8 2 2 2 2 2 5 2" xfId="4424" xr:uid="{00000000-0005-0000-0000-0000041C0000}"/>
    <cellStyle name="Normal 8 2 2 2 2 2 5 2 2" xfId="8647" xr:uid="{00000000-0005-0000-0000-0000051C0000}"/>
    <cellStyle name="Normal 8 2 2 2 2 2 5 3" xfId="6502" xr:uid="{00000000-0005-0000-0000-0000061C0000}"/>
    <cellStyle name="Normal 8 2 2 2 2 2 6" xfId="2631" xr:uid="{00000000-0005-0000-0000-0000071C0000}"/>
    <cellStyle name="Normal 8 2 2 2 2 2 6 2" xfId="6915" xr:uid="{00000000-0005-0000-0000-0000081C0000}"/>
    <cellStyle name="Normal 8 2 2 2 2 2 7" xfId="4850" xr:uid="{00000000-0005-0000-0000-0000091C0000}"/>
    <cellStyle name="Normal 8 2 2 2 2 3" xfId="950" xr:uid="{00000000-0005-0000-0000-00000A1C0000}"/>
    <cellStyle name="Normal 8 2 2 2 2 3 2" xfId="3184" xr:uid="{00000000-0005-0000-0000-00000B1C0000}"/>
    <cellStyle name="Normal 8 2 2 2 2 3 2 2" xfId="7407" xr:uid="{00000000-0005-0000-0000-00000C1C0000}"/>
    <cellStyle name="Normal 8 2 2 2 2 3 3" xfId="5262" xr:uid="{00000000-0005-0000-0000-00000D1C0000}"/>
    <cellStyle name="Normal 8 2 2 2 2 4" xfId="1367" xr:uid="{00000000-0005-0000-0000-00000E1C0000}"/>
    <cellStyle name="Normal 8 2 2 2 2 4 2" xfId="3597" xr:uid="{00000000-0005-0000-0000-00000F1C0000}"/>
    <cellStyle name="Normal 8 2 2 2 2 4 2 2" xfId="7820" xr:uid="{00000000-0005-0000-0000-0000101C0000}"/>
    <cellStyle name="Normal 8 2 2 2 2 4 3" xfId="5675" xr:uid="{00000000-0005-0000-0000-0000111C0000}"/>
    <cellStyle name="Normal 8 2 2 2 2 5" xfId="1780" xr:uid="{00000000-0005-0000-0000-0000121C0000}"/>
    <cellStyle name="Normal 8 2 2 2 2 5 2" xfId="4010" xr:uid="{00000000-0005-0000-0000-0000131C0000}"/>
    <cellStyle name="Normal 8 2 2 2 2 5 2 2" xfId="8233" xr:uid="{00000000-0005-0000-0000-0000141C0000}"/>
    <cellStyle name="Normal 8 2 2 2 2 5 3" xfId="6088" xr:uid="{00000000-0005-0000-0000-0000151C0000}"/>
    <cellStyle name="Normal 8 2 2 2 2 6" xfId="2194" xr:uid="{00000000-0005-0000-0000-0000161C0000}"/>
    <cellStyle name="Normal 8 2 2 2 2 6 2" xfId="4423" xr:uid="{00000000-0005-0000-0000-0000171C0000}"/>
    <cellStyle name="Normal 8 2 2 2 2 6 2 2" xfId="8646" xr:uid="{00000000-0005-0000-0000-0000181C0000}"/>
    <cellStyle name="Normal 8 2 2 2 2 6 3" xfId="6501" xr:uid="{00000000-0005-0000-0000-0000191C0000}"/>
    <cellStyle name="Normal 8 2 2 2 2 7" xfId="2630" xr:uid="{00000000-0005-0000-0000-00001A1C0000}"/>
    <cellStyle name="Normal 8 2 2 2 2 7 2" xfId="6914" xr:uid="{00000000-0005-0000-0000-00001B1C0000}"/>
    <cellStyle name="Normal 8 2 2 2 2 8" xfId="4849"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09" xr:uid="{00000000-0005-0000-0000-0000201C0000}"/>
    <cellStyle name="Normal 8 2 2 2 3 2 3" xfId="5264" xr:uid="{00000000-0005-0000-0000-0000211C0000}"/>
    <cellStyle name="Normal 8 2 2 2 3 3" xfId="1369" xr:uid="{00000000-0005-0000-0000-0000221C0000}"/>
    <cellStyle name="Normal 8 2 2 2 3 3 2" xfId="3599" xr:uid="{00000000-0005-0000-0000-0000231C0000}"/>
    <cellStyle name="Normal 8 2 2 2 3 3 2 2" xfId="7822" xr:uid="{00000000-0005-0000-0000-0000241C0000}"/>
    <cellStyle name="Normal 8 2 2 2 3 3 3" xfId="5677" xr:uid="{00000000-0005-0000-0000-0000251C0000}"/>
    <cellStyle name="Normal 8 2 2 2 3 4" xfId="1782" xr:uid="{00000000-0005-0000-0000-0000261C0000}"/>
    <cellStyle name="Normal 8 2 2 2 3 4 2" xfId="4012" xr:uid="{00000000-0005-0000-0000-0000271C0000}"/>
    <cellStyle name="Normal 8 2 2 2 3 4 2 2" xfId="8235" xr:uid="{00000000-0005-0000-0000-0000281C0000}"/>
    <cellStyle name="Normal 8 2 2 2 3 4 3" xfId="6090" xr:uid="{00000000-0005-0000-0000-0000291C0000}"/>
    <cellStyle name="Normal 8 2 2 2 3 5" xfId="2196" xr:uid="{00000000-0005-0000-0000-00002A1C0000}"/>
    <cellStyle name="Normal 8 2 2 2 3 5 2" xfId="4425" xr:uid="{00000000-0005-0000-0000-00002B1C0000}"/>
    <cellStyle name="Normal 8 2 2 2 3 5 2 2" xfId="8648" xr:uid="{00000000-0005-0000-0000-00002C1C0000}"/>
    <cellStyle name="Normal 8 2 2 2 3 5 3" xfId="6503" xr:uid="{00000000-0005-0000-0000-00002D1C0000}"/>
    <cellStyle name="Normal 8 2 2 2 3 6" xfId="2632" xr:uid="{00000000-0005-0000-0000-00002E1C0000}"/>
    <cellStyle name="Normal 8 2 2 2 3 6 2" xfId="6916" xr:uid="{00000000-0005-0000-0000-00002F1C0000}"/>
    <cellStyle name="Normal 8 2 2 2 3 7" xfId="4851" xr:uid="{00000000-0005-0000-0000-0000301C0000}"/>
    <cellStyle name="Normal 8 2 2 2 4" xfId="949" xr:uid="{00000000-0005-0000-0000-0000311C0000}"/>
    <cellStyle name="Normal 8 2 2 2 4 2" xfId="3183" xr:uid="{00000000-0005-0000-0000-0000321C0000}"/>
    <cellStyle name="Normal 8 2 2 2 4 2 2" xfId="7406" xr:uid="{00000000-0005-0000-0000-0000331C0000}"/>
    <cellStyle name="Normal 8 2 2 2 4 3" xfId="5261" xr:uid="{00000000-0005-0000-0000-0000341C0000}"/>
    <cellStyle name="Normal 8 2 2 2 5" xfId="1366" xr:uid="{00000000-0005-0000-0000-0000351C0000}"/>
    <cellStyle name="Normal 8 2 2 2 5 2" xfId="3596" xr:uid="{00000000-0005-0000-0000-0000361C0000}"/>
    <cellStyle name="Normal 8 2 2 2 5 2 2" xfId="7819" xr:uid="{00000000-0005-0000-0000-0000371C0000}"/>
    <cellStyle name="Normal 8 2 2 2 5 3" xfId="5674" xr:uid="{00000000-0005-0000-0000-0000381C0000}"/>
    <cellStyle name="Normal 8 2 2 2 6" xfId="1779" xr:uid="{00000000-0005-0000-0000-0000391C0000}"/>
    <cellStyle name="Normal 8 2 2 2 6 2" xfId="4009" xr:uid="{00000000-0005-0000-0000-00003A1C0000}"/>
    <cellStyle name="Normal 8 2 2 2 6 2 2" xfId="8232" xr:uid="{00000000-0005-0000-0000-00003B1C0000}"/>
    <cellStyle name="Normal 8 2 2 2 6 3" xfId="6087" xr:uid="{00000000-0005-0000-0000-00003C1C0000}"/>
    <cellStyle name="Normal 8 2 2 2 7" xfId="2193" xr:uid="{00000000-0005-0000-0000-00003D1C0000}"/>
    <cellStyle name="Normal 8 2 2 2 7 2" xfId="4422" xr:uid="{00000000-0005-0000-0000-00003E1C0000}"/>
    <cellStyle name="Normal 8 2 2 2 7 2 2" xfId="8645" xr:uid="{00000000-0005-0000-0000-00003F1C0000}"/>
    <cellStyle name="Normal 8 2 2 2 7 3" xfId="6500" xr:uid="{00000000-0005-0000-0000-0000401C0000}"/>
    <cellStyle name="Normal 8 2 2 2 8" xfId="2629" xr:uid="{00000000-0005-0000-0000-0000411C0000}"/>
    <cellStyle name="Normal 8 2 2 2 8 2" xfId="6913" xr:uid="{00000000-0005-0000-0000-0000421C0000}"/>
    <cellStyle name="Normal 8 2 2 2 9" xfId="4848"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1" xr:uid="{00000000-0005-0000-0000-0000481C0000}"/>
    <cellStyle name="Normal 8 2 2 3 2 2 3" xfId="5266" xr:uid="{00000000-0005-0000-0000-0000491C0000}"/>
    <cellStyle name="Normal 8 2 2 3 2 3" xfId="1371" xr:uid="{00000000-0005-0000-0000-00004A1C0000}"/>
    <cellStyle name="Normal 8 2 2 3 2 3 2" xfId="3601" xr:uid="{00000000-0005-0000-0000-00004B1C0000}"/>
    <cellStyle name="Normal 8 2 2 3 2 3 2 2" xfId="7824" xr:uid="{00000000-0005-0000-0000-00004C1C0000}"/>
    <cellStyle name="Normal 8 2 2 3 2 3 3" xfId="5679" xr:uid="{00000000-0005-0000-0000-00004D1C0000}"/>
    <cellStyle name="Normal 8 2 2 3 2 4" xfId="1784" xr:uid="{00000000-0005-0000-0000-00004E1C0000}"/>
    <cellStyle name="Normal 8 2 2 3 2 4 2" xfId="4014" xr:uid="{00000000-0005-0000-0000-00004F1C0000}"/>
    <cellStyle name="Normal 8 2 2 3 2 4 2 2" xfId="8237" xr:uid="{00000000-0005-0000-0000-0000501C0000}"/>
    <cellStyle name="Normal 8 2 2 3 2 4 3" xfId="6092" xr:uid="{00000000-0005-0000-0000-0000511C0000}"/>
    <cellStyle name="Normal 8 2 2 3 2 5" xfId="2198" xr:uid="{00000000-0005-0000-0000-0000521C0000}"/>
    <cellStyle name="Normal 8 2 2 3 2 5 2" xfId="4427" xr:uid="{00000000-0005-0000-0000-0000531C0000}"/>
    <cellStyle name="Normal 8 2 2 3 2 5 2 2" xfId="8650" xr:uid="{00000000-0005-0000-0000-0000541C0000}"/>
    <cellStyle name="Normal 8 2 2 3 2 5 3" xfId="6505" xr:uid="{00000000-0005-0000-0000-0000551C0000}"/>
    <cellStyle name="Normal 8 2 2 3 2 6" xfId="2634" xr:uid="{00000000-0005-0000-0000-0000561C0000}"/>
    <cellStyle name="Normal 8 2 2 3 2 6 2" xfId="6918" xr:uid="{00000000-0005-0000-0000-0000571C0000}"/>
    <cellStyle name="Normal 8 2 2 3 2 7" xfId="4853" xr:uid="{00000000-0005-0000-0000-0000581C0000}"/>
    <cellStyle name="Normal 8 2 2 3 3" xfId="953" xr:uid="{00000000-0005-0000-0000-0000591C0000}"/>
    <cellStyle name="Normal 8 2 2 3 3 2" xfId="3187" xr:uid="{00000000-0005-0000-0000-00005A1C0000}"/>
    <cellStyle name="Normal 8 2 2 3 3 2 2" xfId="7410" xr:uid="{00000000-0005-0000-0000-00005B1C0000}"/>
    <cellStyle name="Normal 8 2 2 3 3 3" xfId="5265" xr:uid="{00000000-0005-0000-0000-00005C1C0000}"/>
    <cellStyle name="Normal 8 2 2 3 4" xfId="1370" xr:uid="{00000000-0005-0000-0000-00005D1C0000}"/>
    <cellStyle name="Normal 8 2 2 3 4 2" xfId="3600" xr:uid="{00000000-0005-0000-0000-00005E1C0000}"/>
    <cellStyle name="Normal 8 2 2 3 4 2 2" xfId="7823" xr:uid="{00000000-0005-0000-0000-00005F1C0000}"/>
    <cellStyle name="Normal 8 2 2 3 4 3" xfId="5678" xr:uid="{00000000-0005-0000-0000-0000601C0000}"/>
    <cellStyle name="Normal 8 2 2 3 5" xfId="1783" xr:uid="{00000000-0005-0000-0000-0000611C0000}"/>
    <cellStyle name="Normal 8 2 2 3 5 2" xfId="4013" xr:uid="{00000000-0005-0000-0000-0000621C0000}"/>
    <cellStyle name="Normal 8 2 2 3 5 2 2" xfId="8236" xr:uid="{00000000-0005-0000-0000-0000631C0000}"/>
    <cellStyle name="Normal 8 2 2 3 5 3" xfId="6091" xr:uid="{00000000-0005-0000-0000-0000641C0000}"/>
    <cellStyle name="Normal 8 2 2 3 6" xfId="2197" xr:uid="{00000000-0005-0000-0000-0000651C0000}"/>
    <cellStyle name="Normal 8 2 2 3 6 2" xfId="4426" xr:uid="{00000000-0005-0000-0000-0000661C0000}"/>
    <cellStyle name="Normal 8 2 2 3 6 2 2" xfId="8649" xr:uid="{00000000-0005-0000-0000-0000671C0000}"/>
    <cellStyle name="Normal 8 2 2 3 6 3" xfId="6504" xr:uid="{00000000-0005-0000-0000-0000681C0000}"/>
    <cellStyle name="Normal 8 2 2 3 7" xfId="2633" xr:uid="{00000000-0005-0000-0000-0000691C0000}"/>
    <cellStyle name="Normal 8 2 2 3 7 2" xfId="6917" xr:uid="{00000000-0005-0000-0000-00006A1C0000}"/>
    <cellStyle name="Normal 8 2 2 3 8" xfId="4852"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2" xr:uid="{00000000-0005-0000-0000-00006F1C0000}"/>
    <cellStyle name="Normal 8 2 2 4 2 3" xfId="5267" xr:uid="{00000000-0005-0000-0000-0000701C0000}"/>
    <cellStyle name="Normal 8 2 2 4 3" xfId="1372" xr:uid="{00000000-0005-0000-0000-0000711C0000}"/>
    <cellStyle name="Normal 8 2 2 4 3 2" xfId="3602" xr:uid="{00000000-0005-0000-0000-0000721C0000}"/>
    <cellStyle name="Normal 8 2 2 4 3 2 2" xfId="7825" xr:uid="{00000000-0005-0000-0000-0000731C0000}"/>
    <cellStyle name="Normal 8 2 2 4 3 3" xfId="5680" xr:uid="{00000000-0005-0000-0000-0000741C0000}"/>
    <cellStyle name="Normal 8 2 2 4 4" xfId="1785" xr:uid="{00000000-0005-0000-0000-0000751C0000}"/>
    <cellStyle name="Normal 8 2 2 4 4 2" xfId="4015" xr:uid="{00000000-0005-0000-0000-0000761C0000}"/>
    <cellStyle name="Normal 8 2 2 4 4 2 2" xfId="8238" xr:uid="{00000000-0005-0000-0000-0000771C0000}"/>
    <cellStyle name="Normal 8 2 2 4 4 3" xfId="6093" xr:uid="{00000000-0005-0000-0000-0000781C0000}"/>
    <cellStyle name="Normal 8 2 2 4 5" xfId="2199" xr:uid="{00000000-0005-0000-0000-0000791C0000}"/>
    <cellStyle name="Normal 8 2 2 4 5 2" xfId="4428" xr:uid="{00000000-0005-0000-0000-00007A1C0000}"/>
    <cellStyle name="Normal 8 2 2 4 5 2 2" xfId="8651" xr:uid="{00000000-0005-0000-0000-00007B1C0000}"/>
    <cellStyle name="Normal 8 2 2 4 5 3" xfId="6506" xr:uid="{00000000-0005-0000-0000-00007C1C0000}"/>
    <cellStyle name="Normal 8 2 2 4 6" xfId="2635" xr:uid="{00000000-0005-0000-0000-00007D1C0000}"/>
    <cellStyle name="Normal 8 2 2 4 6 2" xfId="6919" xr:uid="{00000000-0005-0000-0000-00007E1C0000}"/>
    <cellStyle name="Normal 8 2 2 4 7" xfId="4854" xr:uid="{00000000-0005-0000-0000-00007F1C0000}"/>
    <cellStyle name="Normal 8 2 2 5" xfId="948" xr:uid="{00000000-0005-0000-0000-0000801C0000}"/>
    <cellStyle name="Normal 8 2 2 5 2" xfId="3182" xr:uid="{00000000-0005-0000-0000-0000811C0000}"/>
    <cellStyle name="Normal 8 2 2 5 2 2" xfId="7405" xr:uid="{00000000-0005-0000-0000-0000821C0000}"/>
    <cellStyle name="Normal 8 2 2 5 3" xfId="5260" xr:uid="{00000000-0005-0000-0000-0000831C0000}"/>
    <cellStyle name="Normal 8 2 2 6" xfId="1365" xr:uid="{00000000-0005-0000-0000-0000841C0000}"/>
    <cellStyle name="Normal 8 2 2 6 2" xfId="3595" xr:uid="{00000000-0005-0000-0000-0000851C0000}"/>
    <cellStyle name="Normal 8 2 2 6 2 2" xfId="7818" xr:uid="{00000000-0005-0000-0000-0000861C0000}"/>
    <cellStyle name="Normal 8 2 2 6 3" xfId="5673" xr:uid="{00000000-0005-0000-0000-0000871C0000}"/>
    <cellStyle name="Normal 8 2 2 7" xfId="1778" xr:uid="{00000000-0005-0000-0000-0000881C0000}"/>
    <cellStyle name="Normal 8 2 2 7 2" xfId="4008" xr:uid="{00000000-0005-0000-0000-0000891C0000}"/>
    <cellStyle name="Normal 8 2 2 7 2 2" xfId="8231" xr:uid="{00000000-0005-0000-0000-00008A1C0000}"/>
    <cellStyle name="Normal 8 2 2 7 3" xfId="6086" xr:uid="{00000000-0005-0000-0000-00008B1C0000}"/>
    <cellStyle name="Normal 8 2 2 8" xfId="2192" xr:uid="{00000000-0005-0000-0000-00008C1C0000}"/>
    <cellStyle name="Normal 8 2 2 8 2" xfId="4421" xr:uid="{00000000-0005-0000-0000-00008D1C0000}"/>
    <cellStyle name="Normal 8 2 2 8 2 2" xfId="8644" xr:uid="{00000000-0005-0000-0000-00008E1C0000}"/>
    <cellStyle name="Normal 8 2 2 8 3" xfId="6499" xr:uid="{00000000-0005-0000-0000-00008F1C0000}"/>
    <cellStyle name="Normal 8 2 2 9" xfId="2628" xr:uid="{00000000-0005-0000-0000-0000901C0000}"/>
    <cellStyle name="Normal 8 2 2 9 2" xfId="6912"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5" xr:uid="{00000000-0005-0000-0000-0000971C0000}"/>
    <cellStyle name="Normal 8 2 3 2 2 2 3" xfId="5270" xr:uid="{00000000-0005-0000-0000-0000981C0000}"/>
    <cellStyle name="Normal 8 2 3 2 2 3" xfId="1375" xr:uid="{00000000-0005-0000-0000-0000991C0000}"/>
    <cellStyle name="Normal 8 2 3 2 2 3 2" xfId="3605" xr:uid="{00000000-0005-0000-0000-00009A1C0000}"/>
    <cellStyle name="Normal 8 2 3 2 2 3 2 2" xfId="7828" xr:uid="{00000000-0005-0000-0000-00009B1C0000}"/>
    <cellStyle name="Normal 8 2 3 2 2 3 3" xfId="5683" xr:uid="{00000000-0005-0000-0000-00009C1C0000}"/>
    <cellStyle name="Normal 8 2 3 2 2 4" xfId="1788" xr:uid="{00000000-0005-0000-0000-00009D1C0000}"/>
    <cellStyle name="Normal 8 2 3 2 2 4 2" xfId="4018" xr:uid="{00000000-0005-0000-0000-00009E1C0000}"/>
    <cellStyle name="Normal 8 2 3 2 2 4 2 2" xfId="8241" xr:uid="{00000000-0005-0000-0000-00009F1C0000}"/>
    <cellStyle name="Normal 8 2 3 2 2 4 3" xfId="6096" xr:uid="{00000000-0005-0000-0000-0000A01C0000}"/>
    <cellStyle name="Normal 8 2 3 2 2 5" xfId="2202" xr:uid="{00000000-0005-0000-0000-0000A11C0000}"/>
    <cellStyle name="Normal 8 2 3 2 2 5 2" xfId="4431" xr:uid="{00000000-0005-0000-0000-0000A21C0000}"/>
    <cellStyle name="Normal 8 2 3 2 2 5 2 2" xfId="8654" xr:uid="{00000000-0005-0000-0000-0000A31C0000}"/>
    <cellStyle name="Normal 8 2 3 2 2 5 3" xfId="6509" xr:uid="{00000000-0005-0000-0000-0000A41C0000}"/>
    <cellStyle name="Normal 8 2 3 2 2 6" xfId="2638" xr:uid="{00000000-0005-0000-0000-0000A51C0000}"/>
    <cellStyle name="Normal 8 2 3 2 2 6 2" xfId="6922" xr:uid="{00000000-0005-0000-0000-0000A61C0000}"/>
    <cellStyle name="Normal 8 2 3 2 2 7" xfId="4857" xr:uid="{00000000-0005-0000-0000-0000A71C0000}"/>
    <cellStyle name="Normal 8 2 3 2 3" xfId="957" xr:uid="{00000000-0005-0000-0000-0000A81C0000}"/>
    <cellStyle name="Normal 8 2 3 2 3 2" xfId="3191" xr:uid="{00000000-0005-0000-0000-0000A91C0000}"/>
    <cellStyle name="Normal 8 2 3 2 3 2 2" xfId="7414" xr:uid="{00000000-0005-0000-0000-0000AA1C0000}"/>
    <cellStyle name="Normal 8 2 3 2 3 3" xfId="5269" xr:uid="{00000000-0005-0000-0000-0000AB1C0000}"/>
    <cellStyle name="Normal 8 2 3 2 4" xfId="1374" xr:uid="{00000000-0005-0000-0000-0000AC1C0000}"/>
    <cellStyle name="Normal 8 2 3 2 4 2" xfId="3604" xr:uid="{00000000-0005-0000-0000-0000AD1C0000}"/>
    <cellStyle name="Normal 8 2 3 2 4 2 2" xfId="7827" xr:uid="{00000000-0005-0000-0000-0000AE1C0000}"/>
    <cellStyle name="Normal 8 2 3 2 4 3" xfId="5682" xr:uid="{00000000-0005-0000-0000-0000AF1C0000}"/>
    <cellStyle name="Normal 8 2 3 2 5" xfId="1787" xr:uid="{00000000-0005-0000-0000-0000B01C0000}"/>
    <cellStyle name="Normal 8 2 3 2 5 2" xfId="4017" xr:uid="{00000000-0005-0000-0000-0000B11C0000}"/>
    <cellStyle name="Normal 8 2 3 2 5 2 2" xfId="8240" xr:uid="{00000000-0005-0000-0000-0000B21C0000}"/>
    <cellStyle name="Normal 8 2 3 2 5 3" xfId="6095" xr:uid="{00000000-0005-0000-0000-0000B31C0000}"/>
    <cellStyle name="Normal 8 2 3 2 6" xfId="2201" xr:uid="{00000000-0005-0000-0000-0000B41C0000}"/>
    <cellStyle name="Normal 8 2 3 2 6 2" xfId="4430" xr:uid="{00000000-0005-0000-0000-0000B51C0000}"/>
    <cellStyle name="Normal 8 2 3 2 6 2 2" xfId="8653" xr:uid="{00000000-0005-0000-0000-0000B61C0000}"/>
    <cellStyle name="Normal 8 2 3 2 6 3" xfId="6508" xr:uid="{00000000-0005-0000-0000-0000B71C0000}"/>
    <cellStyle name="Normal 8 2 3 2 7" xfId="2637" xr:uid="{00000000-0005-0000-0000-0000B81C0000}"/>
    <cellStyle name="Normal 8 2 3 2 7 2" xfId="6921" xr:uid="{00000000-0005-0000-0000-0000B91C0000}"/>
    <cellStyle name="Normal 8 2 3 2 8" xfId="4856"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6" xr:uid="{00000000-0005-0000-0000-0000BE1C0000}"/>
    <cellStyle name="Normal 8 2 3 3 2 3" xfId="5271" xr:uid="{00000000-0005-0000-0000-0000BF1C0000}"/>
    <cellStyle name="Normal 8 2 3 3 3" xfId="1376" xr:uid="{00000000-0005-0000-0000-0000C01C0000}"/>
    <cellStyle name="Normal 8 2 3 3 3 2" xfId="3606" xr:uid="{00000000-0005-0000-0000-0000C11C0000}"/>
    <cellStyle name="Normal 8 2 3 3 3 2 2" xfId="7829" xr:uid="{00000000-0005-0000-0000-0000C21C0000}"/>
    <cellStyle name="Normal 8 2 3 3 3 3" xfId="5684" xr:uid="{00000000-0005-0000-0000-0000C31C0000}"/>
    <cellStyle name="Normal 8 2 3 3 4" xfId="1789" xr:uid="{00000000-0005-0000-0000-0000C41C0000}"/>
    <cellStyle name="Normal 8 2 3 3 4 2" xfId="4019" xr:uid="{00000000-0005-0000-0000-0000C51C0000}"/>
    <cellStyle name="Normal 8 2 3 3 4 2 2" xfId="8242" xr:uid="{00000000-0005-0000-0000-0000C61C0000}"/>
    <cellStyle name="Normal 8 2 3 3 4 3" xfId="6097" xr:uid="{00000000-0005-0000-0000-0000C71C0000}"/>
    <cellStyle name="Normal 8 2 3 3 5" xfId="2203" xr:uid="{00000000-0005-0000-0000-0000C81C0000}"/>
    <cellStyle name="Normal 8 2 3 3 5 2" xfId="4432" xr:uid="{00000000-0005-0000-0000-0000C91C0000}"/>
    <cellStyle name="Normal 8 2 3 3 5 2 2" xfId="8655" xr:uid="{00000000-0005-0000-0000-0000CA1C0000}"/>
    <cellStyle name="Normal 8 2 3 3 5 3" xfId="6510" xr:uid="{00000000-0005-0000-0000-0000CB1C0000}"/>
    <cellStyle name="Normal 8 2 3 3 6" xfId="2639" xr:uid="{00000000-0005-0000-0000-0000CC1C0000}"/>
    <cellStyle name="Normal 8 2 3 3 6 2" xfId="6923" xr:uid="{00000000-0005-0000-0000-0000CD1C0000}"/>
    <cellStyle name="Normal 8 2 3 3 7" xfId="4858" xr:uid="{00000000-0005-0000-0000-0000CE1C0000}"/>
    <cellStyle name="Normal 8 2 3 4" xfId="956" xr:uid="{00000000-0005-0000-0000-0000CF1C0000}"/>
    <cellStyle name="Normal 8 2 3 4 2" xfId="3190" xr:uid="{00000000-0005-0000-0000-0000D01C0000}"/>
    <cellStyle name="Normal 8 2 3 4 2 2" xfId="7413" xr:uid="{00000000-0005-0000-0000-0000D11C0000}"/>
    <cellStyle name="Normal 8 2 3 4 3" xfId="5268" xr:uid="{00000000-0005-0000-0000-0000D21C0000}"/>
    <cellStyle name="Normal 8 2 3 5" xfId="1373" xr:uid="{00000000-0005-0000-0000-0000D31C0000}"/>
    <cellStyle name="Normal 8 2 3 5 2" xfId="3603" xr:uid="{00000000-0005-0000-0000-0000D41C0000}"/>
    <cellStyle name="Normal 8 2 3 5 2 2" xfId="7826" xr:uid="{00000000-0005-0000-0000-0000D51C0000}"/>
    <cellStyle name="Normal 8 2 3 5 3" xfId="5681" xr:uid="{00000000-0005-0000-0000-0000D61C0000}"/>
    <cellStyle name="Normal 8 2 3 6" xfId="1786" xr:uid="{00000000-0005-0000-0000-0000D71C0000}"/>
    <cellStyle name="Normal 8 2 3 6 2" xfId="4016" xr:uid="{00000000-0005-0000-0000-0000D81C0000}"/>
    <cellStyle name="Normal 8 2 3 6 2 2" xfId="8239" xr:uid="{00000000-0005-0000-0000-0000D91C0000}"/>
    <cellStyle name="Normal 8 2 3 6 3" xfId="6094" xr:uid="{00000000-0005-0000-0000-0000DA1C0000}"/>
    <cellStyle name="Normal 8 2 3 7" xfId="2200" xr:uid="{00000000-0005-0000-0000-0000DB1C0000}"/>
    <cellStyle name="Normal 8 2 3 7 2" xfId="4429" xr:uid="{00000000-0005-0000-0000-0000DC1C0000}"/>
    <cellStyle name="Normal 8 2 3 7 2 2" xfId="8652" xr:uid="{00000000-0005-0000-0000-0000DD1C0000}"/>
    <cellStyle name="Normal 8 2 3 7 3" xfId="6507" xr:uid="{00000000-0005-0000-0000-0000DE1C0000}"/>
    <cellStyle name="Normal 8 2 3 8" xfId="2636" xr:uid="{00000000-0005-0000-0000-0000DF1C0000}"/>
    <cellStyle name="Normal 8 2 3 8 2" xfId="6920" xr:uid="{00000000-0005-0000-0000-0000E01C0000}"/>
    <cellStyle name="Normal 8 2 3 9" xfId="4855"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8" xr:uid="{00000000-0005-0000-0000-0000E61C0000}"/>
    <cellStyle name="Normal 8 2 4 2 2 3" xfId="5273" xr:uid="{00000000-0005-0000-0000-0000E71C0000}"/>
    <cellStyle name="Normal 8 2 4 2 3" xfId="1378" xr:uid="{00000000-0005-0000-0000-0000E81C0000}"/>
    <cellStyle name="Normal 8 2 4 2 3 2" xfId="3608" xr:uid="{00000000-0005-0000-0000-0000E91C0000}"/>
    <cellStyle name="Normal 8 2 4 2 3 2 2" xfId="7831" xr:uid="{00000000-0005-0000-0000-0000EA1C0000}"/>
    <cellStyle name="Normal 8 2 4 2 3 3" xfId="5686" xr:uid="{00000000-0005-0000-0000-0000EB1C0000}"/>
    <cellStyle name="Normal 8 2 4 2 4" xfId="1791" xr:uid="{00000000-0005-0000-0000-0000EC1C0000}"/>
    <cellStyle name="Normal 8 2 4 2 4 2" xfId="4021" xr:uid="{00000000-0005-0000-0000-0000ED1C0000}"/>
    <cellStyle name="Normal 8 2 4 2 4 2 2" xfId="8244" xr:uid="{00000000-0005-0000-0000-0000EE1C0000}"/>
    <cellStyle name="Normal 8 2 4 2 4 3" xfId="6099" xr:uid="{00000000-0005-0000-0000-0000EF1C0000}"/>
    <cellStyle name="Normal 8 2 4 2 5" xfId="2205" xr:uid="{00000000-0005-0000-0000-0000F01C0000}"/>
    <cellStyle name="Normal 8 2 4 2 5 2" xfId="4434" xr:uid="{00000000-0005-0000-0000-0000F11C0000}"/>
    <cellStyle name="Normal 8 2 4 2 5 2 2" xfId="8657" xr:uid="{00000000-0005-0000-0000-0000F21C0000}"/>
    <cellStyle name="Normal 8 2 4 2 5 3" xfId="6512" xr:uid="{00000000-0005-0000-0000-0000F31C0000}"/>
    <cellStyle name="Normal 8 2 4 2 6" xfId="2641" xr:uid="{00000000-0005-0000-0000-0000F41C0000}"/>
    <cellStyle name="Normal 8 2 4 2 6 2" xfId="6925" xr:uid="{00000000-0005-0000-0000-0000F51C0000}"/>
    <cellStyle name="Normal 8 2 4 2 7" xfId="4860" xr:uid="{00000000-0005-0000-0000-0000F61C0000}"/>
    <cellStyle name="Normal 8 2 4 3" xfId="960" xr:uid="{00000000-0005-0000-0000-0000F71C0000}"/>
    <cellStyle name="Normal 8 2 4 3 2" xfId="3194" xr:uid="{00000000-0005-0000-0000-0000F81C0000}"/>
    <cellStyle name="Normal 8 2 4 3 2 2" xfId="7417" xr:uid="{00000000-0005-0000-0000-0000F91C0000}"/>
    <cellStyle name="Normal 8 2 4 3 3" xfId="5272" xr:uid="{00000000-0005-0000-0000-0000FA1C0000}"/>
    <cellStyle name="Normal 8 2 4 4" xfId="1377" xr:uid="{00000000-0005-0000-0000-0000FB1C0000}"/>
    <cellStyle name="Normal 8 2 4 4 2" xfId="3607" xr:uid="{00000000-0005-0000-0000-0000FC1C0000}"/>
    <cellStyle name="Normal 8 2 4 4 2 2" xfId="7830" xr:uid="{00000000-0005-0000-0000-0000FD1C0000}"/>
    <cellStyle name="Normal 8 2 4 4 3" xfId="5685" xr:uid="{00000000-0005-0000-0000-0000FE1C0000}"/>
    <cellStyle name="Normal 8 2 4 5" xfId="1790" xr:uid="{00000000-0005-0000-0000-0000FF1C0000}"/>
    <cellStyle name="Normal 8 2 4 5 2" xfId="4020" xr:uid="{00000000-0005-0000-0000-0000001D0000}"/>
    <cellStyle name="Normal 8 2 4 5 2 2" xfId="8243" xr:uid="{00000000-0005-0000-0000-0000011D0000}"/>
    <cellStyle name="Normal 8 2 4 5 3" xfId="6098" xr:uid="{00000000-0005-0000-0000-0000021D0000}"/>
    <cellStyle name="Normal 8 2 4 6" xfId="2204" xr:uid="{00000000-0005-0000-0000-0000031D0000}"/>
    <cellStyle name="Normal 8 2 4 6 2" xfId="4433" xr:uid="{00000000-0005-0000-0000-0000041D0000}"/>
    <cellStyle name="Normal 8 2 4 6 2 2" xfId="8656" xr:uid="{00000000-0005-0000-0000-0000051D0000}"/>
    <cellStyle name="Normal 8 2 4 6 3" xfId="6511" xr:uid="{00000000-0005-0000-0000-0000061D0000}"/>
    <cellStyle name="Normal 8 2 4 7" xfId="2640" xr:uid="{00000000-0005-0000-0000-0000071D0000}"/>
    <cellStyle name="Normal 8 2 4 7 2" xfId="6924" xr:uid="{00000000-0005-0000-0000-0000081D0000}"/>
    <cellStyle name="Normal 8 2 4 8" xfId="4859"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19" xr:uid="{00000000-0005-0000-0000-00000D1D0000}"/>
    <cellStyle name="Normal 8 2 5 2 3" xfId="5274" xr:uid="{00000000-0005-0000-0000-00000E1D0000}"/>
    <cellStyle name="Normal 8 2 5 3" xfId="1379" xr:uid="{00000000-0005-0000-0000-00000F1D0000}"/>
    <cellStyle name="Normal 8 2 5 3 2" xfId="3609" xr:uid="{00000000-0005-0000-0000-0000101D0000}"/>
    <cellStyle name="Normal 8 2 5 3 2 2" xfId="7832" xr:uid="{00000000-0005-0000-0000-0000111D0000}"/>
    <cellStyle name="Normal 8 2 5 3 3" xfId="5687" xr:uid="{00000000-0005-0000-0000-0000121D0000}"/>
    <cellStyle name="Normal 8 2 5 4" xfId="1792" xr:uid="{00000000-0005-0000-0000-0000131D0000}"/>
    <cellStyle name="Normal 8 2 5 4 2" xfId="4022" xr:uid="{00000000-0005-0000-0000-0000141D0000}"/>
    <cellStyle name="Normal 8 2 5 4 2 2" xfId="8245" xr:uid="{00000000-0005-0000-0000-0000151D0000}"/>
    <cellStyle name="Normal 8 2 5 4 3" xfId="6100" xr:uid="{00000000-0005-0000-0000-0000161D0000}"/>
    <cellStyle name="Normal 8 2 5 5" xfId="2206" xr:uid="{00000000-0005-0000-0000-0000171D0000}"/>
    <cellStyle name="Normal 8 2 5 5 2" xfId="4435" xr:uid="{00000000-0005-0000-0000-0000181D0000}"/>
    <cellStyle name="Normal 8 2 5 5 2 2" xfId="8658" xr:uid="{00000000-0005-0000-0000-0000191D0000}"/>
    <cellStyle name="Normal 8 2 5 5 3" xfId="6513" xr:uid="{00000000-0005-0000-0000-00001A1D0000}"/>
    <cellStyle name="Normal 8 2 5 6" xfId="2642" xr:uid="{00000000-0005-0000-0000-00001B1D0000}"/>
    <cellStyle name="Normal 8 2 5 6 2" xfId="6926" xr:uid="{00000000-0005-0000-0000-00001C1D0000}"/>
    <cellStyle name="Normal 8 2 5 7" xfId="4861" xr:uid="{00000000-0005-0000-0000-00001D1D0000}"/>
    <cellStyle name="Normal 8 2 6" xfId="947" xr:uid="{00000000-0005-0000-0000-00001E1D0000}"/>
    <cellStyle name="Normal 8 2 6 2" xfId="3181" xr:uid="{00000000-0005-0000-0000-00001F1D0000}"/>
    <cellStyle name="Normal 8 2 6 2 2" xfId="7404" xr:uid="{00000000-0005-0000-0000-0000201D0000}"/>
    <cellStyle name="Normal 8 2 6 3" xfId="5259" xr:uid="{00000000-0005-0000-0000-0000211D0000}"/>
    <cellStyle name="Normal 8 2 7" xfId="1364" xr:uid="{00000000-0005-0000-0000-0000221D0000}"/>
    <cellStyle name="Normal 8 2 7 2" xfId="3594" xr:uid="{00000000-0005-0000-0000-0000231D0000}"/>
    <cellStyle name="Normal 8 2 7 2 2" xfId="7817" xr:uid="{00000000-0005-0000-0000-0000241D0000}"/>
    <cellStyle name="Normal 8 2 7 3" xfId="5672" xr:uid="{00000000-0005-0000-0000-0000251D0000}"/>
    <cellStyle name="Normal 8 2 8" xfId="1777" xr:uid="{00000000-0005-0000-0000-0000261D0000}"/>
    <cellStyle name="Normal 8 2 8 2" xfId="4007" xr:uid="{00000000-0005-0000-0000-0000271D0000}"/>
    <cellStyle name="Normal 8 2 8 2 2" xfId="8230" xr:uid="{00000000-0005-0000-0000-0000281D0000}"/>
    <cellStyle name="Normal 8 2 8 3" xfId="6085" xr:uid="{00000000-0005-0000-0000-0000291D0000}"/>
    <cellStyle name="Normal 8 2 9" xfId="2191" xr:uid="{00000000-0005-0000-0000-00002A1D0000}"/>
    <cellStyle name="Normal 8 2 9 2" xfId="4420" xr:uid="{00000000-0005-0000-0000-00002B1D0000}"/>
    <cellStyle name="Normal 8 2 9 2 2" xfId="8643" xr:uid="{00000000-0005-0000-0000-00002C1D0000}"/>
    <cellStyle name="Normal 8 2 9 3" xfId="6498" xr:uid="{00000000-0005-0000-0000-00002D1D0000}"/>
    <cellStyle name="Normal 8 3" xfId="495" xr:uid="{00000000-0005-0000-0000-00002E1D0000}"/>
    <cellStyle name="Normal 8 3 10" xfId="4862"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3" xr:uid="{00000000-0005-0000-0000-0000351D0000}"/>
    <cellStyle name="Normal 8 3 2 2 2 2 3" xfId="5278" xr:uid="{00000000-0005-0000-0000-0000361D0000}"/>
    <cellStyle name="Normal 8 3 2 2 2 3" xfId="1383" xr:uid="{00000000-0005-0000-0000-0000371D0000}"/>
    <cellStyle name="Normal 8 3 2 2 2 3 2" xfId="3613" xr:uid="{00000000-0005-0000-0000-0000381D0000}"/>
    <cellStyle name="Normal 8 3 2 2 2 3 2 2" xfId="7836" xr:uid="{00000000-0005-0000-0000-0000391D0000}"/>
    <cellStyle name="Normal 8 3 2 2 2 3 3" xfId="5691" xr:uid="{00000000-0005-0000-0000-00003A1D0000}"/>
    <cellStyle name="Normal 8 3 2 2 2 4" xfId="1796" xr:uid="{00000000-0005-0000-0000-00003B1D0000}"/>
    <cellStyle name="Normal 8 3 2 2 2 4 2" xfId="4026" xr:uid="{00000000-0005-0000-0000-00003C1D0000}"/>
    <cellStyle name="Normal 8 3 2 2 2 4 2 2" xfId="8249" xr:uid="{00000000-0005-0000-0000-00003D1D0000}"/>
    <cellStyle name="Normal 8 3 2 2 2 4 3" xfId="6104" xr:uid="{00000000-0005-0000-0000-00003E1D0000}"/>
    <cellStyle name="Normal 8 3 2 2 2 5" xfId="2210" xr:uid="{00000000-0005-0000-0000-00003F1D0000}"/>
    <cellStyle name="Normal 8 3 2 2 2 5 2" xfId="4439" xr:uid="{00000000-0005-0000-0000-0000401D0000}"/>
    <cellStyle name="Normal 8 3 2 2 2 5 2 2" xfId="8662" xr:uid="{00000000-0005-0000-0000-0000411D0000}"/>
    <cellStyle name="Normal 8 3 2 2 2 5 3" xfId="6517" xr:uid="{00000000-0005-0000-0000-0000421D0000}"/>
    <cellStyle name="Normal 8 3 2 2 2 6" xfId="2646" xr:uid="{00000000-0005-0000-0000-0000431D0000}"/>
    <cellStyle name="Normal 8 3 2 2 2 6 2" xfId="6930" xr:uid="{00000000-0005-0000-0000-0000441D0000}"/>
    <cellStyle name="Normal 8 3 2 2 2 7" xfId="4865" xr:uid="{00000000-0005-0000-0000-0000451D0000}"/>
    <cellStyle name="Normal 8 3 2 2 3" xfId="965" xr:uid="{00000000-0005-0000-0000-0000461D0000}"/>
    <cellStyle name="Normal 8 3 2 2 3 2" xfId="3199" xr:uid="{00000000-0005-0000-0000-0000471D0000}"/>
    <cellStyle name="Normal 8 3 2 2 3 2 2" xfId="7422" xr:uid="{00000000-0005-0000-0000-0000481D0000}"/>
    <cellStyle name="Normal 8 3 2 2 3 3" xfId="5277" xr:uid="{00000000-0005-0000-0000-0000491D0000}"/>
    <cellStyle name="Normal 8 3 2 2 4" xfId="1382" xr:uid="{00000000-0005-0000-0000-00004A1D0000}"/>
    <cellStyle name="Normal 8 3 2 2 4 2" xfId="3612" xr:uid="{00000000-0005-0000-0000-00004B1D0000}"/>
    <cellStyle name="Normal 8 3 2 2 4 2 2" xfId="7835" xr:uid="{00000000-0005-0000-0000-00004C1D0000}"/>
    <cellStyle name="Normal 8 3 2 2 4 3" xfId="5690" xr:uid="{00000000-0005-0000-0000-00004D1D0000}"/>
    <cellStyle name="Normal 8 3 2 2 5" xfId="1795" xr:uid="{00000000-0005-0000-0000-00004E1D0000}"/>
    <cellStyle name="Normal 8 3 2 2 5 2" xfId="4025" xr:uid="{00000000-0005-0000-0000-00004F1D0000}"/>
    <cellStyle name="Normal 8 3 2 2 5 2 2" xfId="8248" xr:uid="{00000000-0005-0000-0000-0000501D0000}"/>
    <cellStyle name="Normal 8 3 2 2 5 3" xfId="6103" xr:uid="{00000000-0005-0000-0000-0000511D0000}"/>
    <cellStyle name="Normal 8 3 2 2 6" xfId="2209" xr:uid="{00000000-0005-0000-0000-0000521D0000}"/>
    <cellStyle name="Normal 8 3 2 2 6 2" xfId="4438" xr:uid="{00000000-0005-0000-0000-0000531D0000}"/>
    <cellStyle name="Normal 8 3 2 2 6 2 2" xfId="8661" xr:uid="{00000000-0005-0000-0000-0000541D0000}"/>
    <cellStyle name="Normal 8 3 2 2 6 3" xfId="6516" xr:uid="{00000000-0005-0000-0000-0000551D0000}"/>
    <cellStyle name="Normal 8 3 2 2 7" xfId="2645" xr:uid="{00000000-0005-0000-0000-0000561D0000}"/>
    <cellStyle name="Normal 8 3 2 2 7 2" xfId="6929" xr:uid="{00000000-0005-0000-0000-0000571D0000}"/>
    <cellStyle name="Normal 8 3 2 2 8" xfId="4864"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4" xr:uid="{00000000-0005-0000-0000-00005C1D0000}"/>
    <cellStyle name="Normal 8 3 2 3 2 3" xfId="5279" xr:uid="{00000000-0005-0000-0000-00005D1D0000}"/>
    <cellStyle name="Normal 8 3 2 3 3" xfId="1384" xr:uid="{00000000-0005-0000-0000-00005E1D0000}"/>
    <cellStyle name="Normal 8 3 2 3 3 2" xfId="3614" xr:uid="{00000000-0005-0000-0000-00005F1D0000}"/>
    <cellStyle name="Normal 8 3 2 3 3 2 2" xfId="7837" xr:uid="{00000000-0005-0000-0000-0000601D0000}"/>
    <cellStyle name="Normal 8 3 2 3 3 3" xfId="5692" xr:uid="{00000000-0005-0000-0000-0000611D0000}"/>
    <cellStyle name="Normal 8 3 2 3 4" xfId="1797" xr:uid="{00000000-0005-0000-0000-0000621D0000}"/>
    <cellStyle name="Normal 8 3 2 3 4 2" xfId="4027" xr:uid="{00000000-0005-0000-0000-0000631D0000}"/>
    <cellStyle name="Normal 8 3 2 3 4 2 2" xfId="8250" xr:uid="{00000000-0005-0000-0000-0000641D0000}"/>
    <cellStyle name="Normal 8 3 2 3 4 3" xfId="6105" xr:uid="{00000000-0005-0000-0000-0000651D0000}"/>
    <cellStyle name="Normal 8 3 2 3 5" xfId="2211" xr:uid="{00000000-0005-0000-0000-0000661D0000}"/>
    <cellStyle name="Normal 8 3 2 3 5 2" xfId="4440" xr:uid="{00000000-0005-0000-0000-0000671D0000}"/>
    <cellStyle name="Normal 8 3 2 3 5 2 2" xfId="8663" xr:uid="{00000000-0005-0000-0000-0000681D0000}"/>
    <cellStyle name="Normal 8 3 2 3 5 3" xfId="6518" xr:uid="{00000000-0005-0000-0000-0000691D0000}"/>
    <cellStyle name="Normal 8 3 2 3 6" xfId="2647" xr:uid="{00000000-0005-0000-0000-00006A1D0000}"/>
    <cellStyle name="Normal 8 3 2 3 6 2" xfId="6931" xr:uid="{00000000-0005-0000-0000-00006B1D0000}"/>
    <cellStyle name="Normal 8 3 2 3 7" xfId="4866" xr:uid="{00000000-0005-0000-0000-00006C1D0000}"/>
    <cellStyle name="Normal 8 3 2 4" xfId="964" xr:uid="{00000000-0005-0000-0000-00006D1D0000}"/>
    <cellStyle name="Normal 8 3 2 4 2" xfId="3198" xr:uid="{00000000-0005-0000-0000-00006E1D0000}"/>
    <cellStyle name="Normal 8 3 2 4 2 2" xfId="7421" xr:uid="{00000000-0005-0000-0000-00006F1D0000}"/>
    <cellStyle name="Normal 8 3 2 4 3" xfId="5276" xr:uid="{00000000-0005-0000-0000-0000701D0000}"/>
    <cellStyle name="Normal 8 3 2 5" xfId="1381" xr:uid="{00000000-0005-0000-0000-0000711D0000}"/>
    <cellStyle name="Normal 8 3 2 5 2" xfId="3611" xr:uid="{00000000-0005-0000-0000-0000721D0000}"/>
    <cellStyle name="Normal 8 3 2 5 2 2" xfId="7834" xr:uid="{00000000-0005-0000-0000-0000731D0000}"/>
    <cellStyle name="Normal 8 3 2 5 3" xfId="5689" xr:uid="{00000000-0005-0000-0000-0000741D0000}"/>
    <cellStyle name="Normal 8 3 2 6" xfId="1794" xr:uid="{00000000-0005-0000-0000-0000751D0000}"/>
    <cellStyle name="Normal 8 3 2 6 2" xfId="4024" xr:uid="{00000000-0005-0000-0000-0000761D0000}"/>
    <cellStyle name="Normal 8 3 2 6 2 2" xfId="8247" xr:uid="{00000000-0005-0000-0000-0000771D0000}"/>
    <cellStyle name="Normal 8 3 2 6 3" xfId="6102" xr:uid="{00000000-0005-0000-0000-0000781D0000}"/>
    <cellStyle name="Normal 8 3 2 7" xfId="2208" xr:uid="{00000000-0005-0000-0000-0000791D0000}"/>
    <cellStyle name="Normal 8 3 2 7 2" xfId="4437" xr:uid="{00000000-0005-0000-0000-00007A1D0000}"/>
    <cellStyle name="Normal 8 3 2 7 2 2" xfId="8660" xr:uid="{00000000-0005-0000-0000-00007B1D0000}"/>
    <cellStyle name="Normal 8 3 2 7 3" xfId="6515" xr:uid="{00000000-0005-0000-0000-00007C1D0000}"/>
    <cellStyle name="Normal 8 3 2 8" xfId="2644" xr:uid="{00000000-0005-0000-0000-00007D1D0000}"/>
    <cellStyle name="Normal 8 3 2 8 2" xfId="6928" xr:uid="{00000000-0005-0000-0000-00007E1D0000}"/>
    <cellStyle name="Normal 8 3 2 9" xfId="4863"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6" xr:uid="{00000000-0005-0000-0000-0000841D0000}"/>
    <cellStyle name="Normal 8 3 3 2 2 3" xfId="5281" xr:uid="{00000000-0005-0000-0000-0000851D0000}"/>
    <cellStyle name="Normal 8 3 3 2 3" xfId="1386" xr:uid="{00000000-0005-0000-0000-0000861D0000}"/>
    <cellStyle name="Normal 8 3 3 2 3 2" xfId="3616" xr:uid="{00000000-0005-0000-0000-0000871D0000}"/>
    <cellStyle name="Normal 8 3 3 2 3 2 2" xfId="7839" xr:uid="{00000000-0005-0000-0000-0000881D0000}"/>
    <cellStyle name="Normal 8 3 3 2 3 3" xfId="5694" xr:uid="{00000000-0005-0000-0000-0000891D0000}"/>
    <cellStyle name="Normal 8 3 3 2 4" xfId="1799" xr:uid="{00000000-0005-0000-0000-00008A1D0000}"/>
    <cellStyle name="Normal 8 3 3 2 4 2" xfId="4029" xr:uid="{00000000-0005-0000-0000-00008B1D0000}"/>
    <cellStyle name="Normal 8 3 3 2 4 2 2" xfId="8252" xr:uid="{00000000-0005-0000-0000-00008C1D0000}"/>
    <cellStyle name="Normal 8 3 3 2 4 3" xfId="6107" xr:uid="{00000000-0005-0000-0000-00008D1D0000}"/>
    <cellStyle name="Normal 8 3 3 2 5" xfId="2213" xr:uid="{00000000-0005-0000-0000-00008E1D0000}"/>
    <cellStyle name="Normal 8 3 3 2 5 2" xfId="4442" xr:uid="{00000000-0005-0000-0000-00008F1D0000}"/>
    <cellStyle name="Normal 8 3 3 2 5 2 2" xfId="8665" xr:uid="{00000000-0005-0000-0000-0000901D0000}"/>
    <cellStyle name="Normal 8 3 3 2 5 3" xfId="6520" xr:uid="{00000000-0005-0000-0000-0000911D0000}"/>
    <cellStyle name="Normal 8 3 3 2 6" xfId="2649" xr:uid="{00000000-0005-0000-0000-0000921D0000}"/>
    <cellStyle name="Normal 8 3 3 2 6 2" xfId="6933" xr:uid="{00000000-0005-0000-0000-0000931D0000}"/>
    <cellStyle name="Normal 8 3 3 2 7" xfId="4868" xr:uid="{00000000-0005-0000-0000-0000941D0000}"/>
    <cellStyle name="Normal 8 3 3 3" xfId="968" xr:uid="{00000000-0005-0000-0000-0000951D0000}"/>
    <cellStyle name="Normal 8 3 3 3 2" xfId="3202" xr:uid="{00000000-0005-0000-0000-0000961D0000}"/>
    <cellStyle name="Normal 8 3 3 3 2 2" xfId="7425" xr:uid="{00000000-0005-0000-0000-0000971D0000}"/>
    <cellStyle name="Normal 8 3 3 3 3" xfId="5280" xr:uid="{00000000-0005-0000-0000-0000981D0000}"/>
    <cellStyle name="Normal 8 3 3 4" xfId="1385" xr:uid="{00000000-0005-0000-0000-0000991D0000}"/>
    <cellStyle name="Normal 8 3 3 4 2" xfId="3615" xr:uid="{00000000-0005-0000-0000-00009A1D0000}"/>
    <cellStyle name="Normal 8 3 3 4 2 2" xfId="7838" xr:uid="{00000000-0005-0000-0000-00009B1D0000}"/>
    <cellStyle name="Normal 8 3 3 4 3" xfId="5693" xr:uid="{00000000-0005-0000-0000-00009C1D0000}"/>
    <cellStyle name="Normal 8 3 3 5" xfId="1798" xr:uid="{00000000-0005-0000-0000-00009D1D0000}"/>
    <cellStyle name="Normal 8 3 3 5 2" xfId="4028" xr:uid="{00000000-0005-0000-0000-00009E1D0000}"/>
    <cellStyle name="Normal 8 3 3 5 2 2" xfId="8251" xr:uid="{00000000-0005-0000-0000-00009F1D0000}"/>
    <cellStyle name="Normal 8 3 3 5 3" xfId="6106" xr:uid="{00000000-0005-0000-0000-0000A01D0000}"/>
    <cellStyle name="Normal 8 3 3 6" xfId="2212" xr:uid="{00000000-0005-0000-0000-0000A11D0000}"/>
    <cellStyle name="Normal 8 3 3 6 2" xfId="4441" xr:uid="{00000000-0005-0000-0000-0000A21D0000}"/>
    <cellStyle name="Normal 8 3 3 6 2 2" xfId="8664" xr:uid="{00000000-0005-0000-0000-0000A31D0000}"/>
    <cellStyle name="Normal 8 3 3 6 3" xfId="6519" xr:uid="{00000000-0005-0000-0000-0000A41D0000}"/>
    <cellStyle name="Normal 8 3 3 7" xfId="2648" xr:uid="{00000000-0005-0000-0000-0000A51D0000}"/>
    <cellStyle name="Normal 8 3 3 7 2" xfId="6932" xr:uid="{00000000-0005-0000-0000-0000A61D0000}"/>
    <cellStyle name="Normal 8 3 3 8" xfId="4867"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7" xr:uid="{00000000-0005-0000-0000-0000AB1D0000}"/>
    <cellStyle name="Normal 8 3 4 2 3" xfId="5282" xr:uid="{00000000-0005-0000-0000-0000AC1D0000}"/>
    <cellStyle name="Normal 8 3 4 3" xfId="1387" xr:uid="{00000000-0005-0000-0000-0000AD1D0000}"/>
    <cellStyle name="Normal 8 3 4 3 2" xfId="3617" xr:uid="{00000000-0005-0000-0000-0000AE1D0000}"/>
    <cellStyle name="Normal 8 3 4 3 2 2" xfId="7840" xr:uid="{00000000-0005-0000-0000-0000AF1D0000}"/>
    <cellStyle name="Normal 8 3 4 3 3" xfId="5695" xr:uid="{00000000-0005-0000-0000-0000B01D0000}"/>
    <cellStyle name="Normal 8 3 4 4" xfId="1800" xr:uid="{00000000-0005-0000-0000-0000B11D0000}"/>
    <cellStyle name="Normal 8 3 4 4 2" xfId="4030" xr:uid="{00000000-0005-0000-0000-0000B21D0000}"/>
    <cellStyle name="Normal 8 3 4 4 2 2" xfId="8253" xr:uid="{00000000-0005-0000-0000-0000B31D0000}"/>
    <cellStyle name="Normal 8 3 4 4 3" xfId="6108" xr:uid="{00000000-0005-0000-0000-0000B41D0000}"/>
    <cellStyle name="Normal 8 3 4 5" xfId="2214" xr:uid="{00000000-0005-0000-0000-0000B51D0000}"/>
    <cellStyle name="Normal 8 3 4 5 2" xfId="4443" xr:uid="{00000000-0005-0000-0000-0000B61D0000}"/>
    <cellStyle name="Normal 8 3 4 5 2 2" xfId="8666" xr:uid="{00000000-0005-0000-0000-0000B71D0000}"/>
    <cellStyle name="Normal 8 3 4 5 3" xfId="6521" xr:uid="{00000000-0005-0000-0000-0000B81D0000}"/>
    <cellStyle name="Normal 8 3 4 6" xfId="2650" xr:uid="{00000000-0005-0000-0000-0000B91D0000}"/>
    <cellStyle name="Normal 8 3 4 6 2" xfId="6934" xr:uid="{00000000-0005-0000-0000-0000BA1D0000}"/>
    <cellStyle name="Normal 8 3 4 7" xfId="4869" xr:uid="{00000000-0005-0000-0000-0000BB1D0000}"/>
    <cellStyle name="Normal 8 3 5" xfId="963" xr:uid="{00000000-0005-0000-0000-0000BC1D0000}"/>
    <cellStyle name="Normal 8 3 5 2" xfId="3197" xr:uid="{00000000-0005-0000-0000-0000BD1D0000}"/>
    <cellStyle name="Normal 8 3 5 2 2" xfId="7420" xr:uid="{00000000-0005-0000-0000-0000BE1D0000}"/>
    <cellStyle name="Normal 8 3 5 3" xfId="5275" xr:uid="{00000000-0005-0000-0000-0000BF1D0000}"/>
    <cellStyle name="Normal 8 3 6" xfId="1380" xr:uid="{00000000-0005-0000-0000-0000C01D0000}"/>
    <cellStyle name="Normal 8 3 6 2" xfId="3610" xr:uid="{00000000-0005-0000-0000-0000C11D0000}"/>
    <cellStyle name="Normal 8 3 6 2 2" xfId="7833" xr:uid="{00000000-0005-0000-0000-0000C21D0000}"/>
    <cellStyle name="Normal 8 3 6 3" xfId="5688" xr:uid="{00000000-0005-0000-0000-0000C31D0000}"/>
    <cellStyle name="Normal 8 3 7" xfId="1793" xr:uid="{00000000-0005-0000-0000-0000C41D0000}"/>
    <cellStyle name="Normal 8 3 7 2" xfId="4023" xr:uid="{00000000-0005-0000-0000-0000C51D0000}"/>
    <cellStyle name="Normal 8 3 7 2 2" xfId="8246" xr:uid="{00000000-0005-0000-0000-0000C61D0000}"/>
    <cellStyle name="Normal 8 3 7 3" xfId="6101" xr:uid="{00000000-0005-0000-0000-0000C71D0000}"/>
    <cellStyle name="Normal 8 3 8" xfId="2207" xr:uid="{00000000-0005-0000-0000-0000C81D0000}"/>
    <cellStyle name="Normal 8 3 8 2" xfId="4436" xr:uid="{00000000-0005-0000-0000-0000C91D0000}"/>
    <cellStyle name="Normal 8 3 8 2 2" xfId="8659" xr:uid="{00000000-0005-0000-0000-0000CA1D0000}"/>
    <cellStyle name="Normal 8 3 8 3" xfId="6514" xr:uid="{00000000-0005-0000-0000-0000CB1D0000}"/>
    <cellStyle name="Normal 8 3 9" xfId="2643" xr:uid="{00000000-0005-0000-0000-0000CC1D0000}"/>
    <cellStyle name="Normal 8 3 9 2" xfId="6927"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0" xr:uid="{00000000-0005-0000-0000-0000D31D0000}"/>
    <cellStyle name="Normal 8 4 2 2 2 3" xfId="5285" xr:uid="{00000000-0005-0000-0000-0000D41D0000}"/>
    <cellStyle name="Normal 8 4 2 2 3" xfId="1390" xr:uid="{00000000-0005-0000-0000-0000D51D0000}"/>
    <cellStyle name="Normal 8 4 2 2 3 2" xfId="3620" xr:uid="{00000000-0005-0000-0000-0000D61D0000}"/>
    <cellStyle name="Normal 8 4 2 2 3 2 2" xfId="7843" xr:uid="{00000000-0005-0000-0000-0000D71D0000}"/>
    <cellStyle name="Normal 8 4 2 2 3 3" xfId="5698" xr:uid="{00000000-0005-0000-0000-0000D81D0000}"/>
    <cellStyle name="Normal 8 4 2 2 4" xfId="1803" xr:uid="{00000000-0005-0000-0000-0000D91D0000}"/>
    <cellStyle name="Normal 8 4 2 2 4 2" xfId="4033" xr:uid="{00000000-0005-0000-0000-0000DA1D0000}"/>
    <cellStyle name="Normal 8 4 2 2 4 2 2" xfId="8256" xr:uid="{00000000-0005-0000-0000-0000DB1D0000}"/>
    <cellStyle name="Normal 8 4 2 2 4 3" xfId="6111" xr:uid="{00000000-0005-0000-0000-0000DC1D0000}"/>
    <cellStyle name="Normal 8 4 2 2 5" xfId="2217" xr:uid="{00000000-0005-0000-0000-0000DD1D0000}"/>
    <cellStyle name="Normal 8 4 2 2 5 2" xfId="4446" xr:uid="{00000000-0005-0000-0000-0000DE1D0000}"/>
    <cellStyle name="Normal 8 4 2 2 5 2 2" xfId="8669" xr:uid="{00000000-0005-0000-0000-0000DF1D0000}"/>
    <cellStyle name="Normal 8 4 2 2 5 3" xfId="6524" xr:uid="{00000000-0005-0000-0000-0000E01D0000}"/>
    <cellStyle name="Normal 8 4 2 2 6" xfId="2653" xr:uid="{00000000-0005-0000-0000-0000E11D0000}"/>
    <cellStyle name="Normal 8 4 2 2 6 2" xfId="6937" xr:uid="{00000000-0005-0000-0000-0000E21D0000}"/>
    <cellStyle name="Normal 8 4 2 2 7" xfId="4872" xr:uid="{00000000-0005-0000-0000-0000E31D0000}"/>
    <cellStyle name="Normal 8 4 2 3" xfId="972" xr:uid="{00000000-0005-0000-0000-0000E41D0000}"/>
    <cellStyle name="Normal 8 4 2 3 2" xfId="3206" xr:uid="{00000000-0005-0000-0000-0000E51D0000}"/>
    <cellStyle name="Normal 8 4 2 3 2 2" xfId="7429" xr:uid="{00000000-0005-0000-0000-0000E61D0000}"/>
    <cellStyle name="Normal 8 4 2 3 3" xfId="5284" xr:uid="{00000000-0005-0000-0000-0000E71D0000}"/>
    <cellStyle name="Normal 8 4 2 4" xfId="1389" xr:uid="{00000000-0005-0000-0000-0000E81D0000}"/>
    <cellStyle name="Normal 8 4 2 4 2" xfId="3619" xr:uid="{00000000-0005-0000-0000-0000E91D0000}"/>
    <cellStyle name="Normal 8 4 2 4 2 2" xfId="7842" xr:uid="{00000000-0005-0000-0000-0000EA1D0000}"/>
    <cellStyle name="Normal 8 4 2 4 3" xfId="5697" xr:uid="{00000000-0005-0000-0000-0000EB1D0000}"/>
    <cellStyle name="Normal 8 4 2 5" xfId="1802" xr:uid="{00000000-0005-0000-0000-0000EC1D0000}"/>
    <cellStyle name="Normal 8 4 2 5 2" xfId="4032" xr:uid="{00000000-0005-0000-0000-0000ED1D0000}"/>
    <cellStyle name="Normal 8 4 2 5 2 2" xfId="8255" xr:uid="{00000000-0005-0000-0000-0000EE1D0000}"/>
    <cellStyle name="Normal 8 4 2 5 3" xfId="6110" xr:uid="{00000000-0005-0000-0000-0000EF1D0000}"/>
    <cellStyle name="Normal 8 4 2 6" xfId="2216" xr:uid="{00000000-0005-0000-0000-0000F01D0000}"/>
    <cellStyle name="Normal 8 4 2 6 2" xfId="4445" xr:uid="{00000000-0005-0000-0000-0000F11D0000}"/>
    <cellStyle name="Normal 8 4 2 6 2 2" xfId="8668" xr:uid="{00000000-0005-0000-0000-0000F21D0000}"/>
    <cellStyle name="Normal 8 4 2 6 3" xfId="6523" xr:uid="{00000000-0005-0000-0000-0000F31D0000}"/>
    <cellStyle name="Normal 8 4 2 7" xfId="2652" xr:uid="{00000000-0005-0000-0000-0000F41D0000}"/>
    <cellStyle name="Normal 8 4 2 7 2" xfId="6936" xr:uid="{00000000-0005-0000-0000-0000F51D0000}"/>
    <cellStyle name="Normal 8 4 2 8" xfId="4871"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1" xr:uid="{00000000-0005-0000-0000-0000FA1D0000}"/>
    <cellStyle name="Normal 8 4 3 2 3" xfId="5286" xr:uid="{00000000-0005-0000-0000-0000FB1D0000}"/>
    <cellStyle name="Normal 8 4 3 3" xfId="1391" xr:uid="{00000000-0005-0000-0000-0000FC1D0000}"/>
    <cellStyle name="Normal 8 4 3 3 2" xfId="3621" xr:uid="{00000000-0005-0000-0000-0000FD1D0000}"/>
    <cellStyle name="Normal 8 4 3 3 2 2" xfId="7844" xr:uid="{00000000-0005-0000-0000-0000FE1D0000}"/>
    <cellStyle name="Normal 8 4 3 3 3" xfId="5699" xr:uid="{00000000-0005-0000-0000-0000FF1D0000}"/>
    <cellStyle name="Normal 8 4 3 4" xfId="1804" xr:uid="{00000000-0005-0000-0000-0000001E0000}"/>
    <cellStyle name="Normal 8 4 3 4 2" xfId="4034" xr:uid="{00000000-0005-0000-0000-0000011E0000}"/>
    <cellStyle name="Normal 8 4 3 4 2 2" xfId="8257" xr:uid="{00000000-0005-0000-0000-0000021E0000}"/>
    <cellStyle name="Normal 8 4 3 4 3" xfId="6112" xr:uid="{00000000-0005-0000-0000-0000031E0000}"/>
    <cellStyle name="Normal 8 4 3 5" xfId="2218" xr:uid="{00000000-0005-0000-0000-0000041E0000}"/>
    <cellStyle name="Normal 8 4 3 5 2" xfId="4447" xr:uid="{00000000-0005-0000-0000-0000051E0000}"/>
    <cellStyle name="Normal 8 4 3 5 2 2" xfId="8670" xr:uid="{00000000-0005-0000-0000-0000061E0000}"/>
    <cellStyle name="Normal 8 4 3 5 3" xfId="6525" xr:uid="{00000000-0005-0000-0000-0000071E0000}"/>
    <cellStyle name="Normal 8 4 3 6" xfId="2654" xr:uid="{00000000-0005-0000-0000-0000081E0000}"/>
    <cellStyle name="Normal 8 4 3 6 2" xfId="6938" xr:uid="{00000000-0005-0000-0000-0000091E0000}"/>
    <cellStyle name="Normal 8 4 3 7" xfId="4873" xr:uid="{00000000-0005-0000-0000-00000A1E0000}"/>
    <cellStyle name="Normal 8 4 4" xfId="971" xr:uid="{00000000-0005-0000-0000-00000B1E0000}"/>
    <cellStyle name="Normal 8 4 4 2" xfId="3205" xr:uid="{00000000-0005-0000-0000-00000C1E0000}"/>
    <cellStyle name="Normal 8 4 4 2 2" xfId="7428" xr:uid="{00000000-0005-0000-0000-00000D1E0000}"/>
    <cellStyle name="Normal 8 4 4 3" xfId="5283" xr:uid="{00000000-0005-0000-0000-00000E1E0000}"/>
    <cellStyle name="Normal 8 4 5" xfId="1388" xr:uid="{00000000-0005-0000-0000-00000F1E0000}"/>
    <cellStyle name="Normal 8 4 5 2" xfId="3618" xr:uid="{00000000-0005-0000-0000-0000101E0000}"/>
    <cellStyle name="Normal 8 4 5 2 2" xfId="7841" xr:uid="{00000000-0005-0000-0000-0000111E0000}"/>
    <cellStyle name="Normal 8 4 5 3" xfId="5696" xr:uid="{00000000-0005-0000-0000-0000121E0000}"/>
    <cellStyle name="Normal 8 4 6" xfId="1801" xr:uid="{00000000-0005-0000-0000-0000131E0000}"/>
    <cellStyle name="Normal 8 4 6 2" xfId="4031" xr:uid="{00000000-0005-0000-0000-0000141E0000}"/>
    <cellStyle name="Normal 8 4 6 2 2" xfId="8254" xr:uid="{00000000-0005-0000-0000-0000151E0000}"/>
    <cellStyle name="Normal 8 4 6 3" xfId="6109" xr:uid="{00000000-0005-0000-0000-0000161E0000}"/>
    <cellStyle name="Normal 8 4 7" xfId="2215" xr:uid="{00000000-0005-0000-0000-0000171E0000}"/>
    <cellStyle name="Normal 8 4 7 2" xfId="4444" xr:uid="{00000000-0005-0000-0000-0000181E0000}"/>
    <cellStyle name="Normal 8 4 7 2 2" xfId="8667" xr:uid="{00000000-0005-0000-0000-0000191E0000}"/>
    <cellStyle name="Normal 8 4 7 3" xfId="6522" xr:uid="{00000000-0005-0000-0000-00001A1E0000}"/>
    <cellStyle name="Normal 8 4 8" xfId="2651" xr:uid="{00000000-0005-0000-0000-00001B1E0000}"/>
    <cellStyle name="Normal 8 4 8 2" xfId="6935" xr:uid="{00000000-0005-0000-0000-00001C1E0000}"/>
    <cellStyle name="Normal 8 4 9" xfId="4870"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3" xr:uid="{00000000-0005-0000-0000-0000221E0000}"/>
    <cellStyle name="Normal 8 5 2 2 3" xfId="5288" xr:uid="{00000000-0005-0000-0000-0000231E0000}"/>
    <cellStyle name="Normal 8 5 2 3" xfId="1393" xr:uid="{00000000-0005-0000-0000-0000241E0000}"/>
    <cellStyle name="Normal 8 5 2 3 2" xfId="3623" xr:uid="{00000000-0005-0000-0000-0000251E0000}"/>
    <cellStyle name="Normal 8 5 2 3 2 2" xfId="7846" xr:uid="{00000000-0005-0000-0000-0000261E0000}"/>
    <cellStyle name="Normal 8 5 2 3 3" xfId="5701" xr:uid="{00000000-0005-0000-0000-0000271E0000}"/>
    <cellStyle name="Normal 8 5 2 4" xfId="1806" xr:uid="{00000000-0005-0000-0000-0000281E0000}"/>
    <cellStyle name="Normal 8 5 2 4 2" xfId="4036" xr:uid="{00000000-0005-0000-0000-0000291E0000}"/>
    <cellStyle name="Normal 8 5 2 4 2 2" xfId="8259" xr:uid="{00000000-0005-0000-0000-00002A1E0000}"/>
    <cellStyle name="Normal 8 5 2 4 3" xfId="6114" xr:uid="{00000000-0005-0000-0000-00002B1E0000}"/>
    <cellStyle name="Normal 8 5 2 5" xfId="2220" xr:uid="{00000000-0005-0000-0000-00002C1E0000}"/>
    <cellStyle name="Normal 8 5 2 5 2" xfId="4449" xr:uid="{00000000-0005-0000-0000-00002D1E0000}"/>
    <cellStyle name="Normal 8 5 2 5 2 2" xfId="8672" xr:uid="{00000000-0005-0000-0000-00002E1E0000}"/>
    <cellStyle name="Normal 8 5 2 5 3" xfId="6527" xr:uid="{00000000-0005-0000-0000-00002F1E0000}"/>
    <cellStyle name="Normal 8 5 2 6" xfId="2656" xr:uid="{00000000-0005-0000-0000-0000301E0000}"/>
    <cellStyle name="Normal 8 5 2 6 2" xfId="6940" xr:uid="{00000000-0005-0000-0000-0000311E0000}"/>
    <cellStyle name="Normal 8 5 2 7" xfId="4875" xr:uid="{00000000-0005-0000-0000-0000321E0000}"/>
    <cellStyle name="Normal 8 5 3" xfId="975" xr:uid="{00000000-0005-0000-0000-0000331E0000}"/>
    <cellStyle name="Normal 8 5 3 2" xfId="3209" xr:uid="{00000000-0005-0000-0000-0000341E0000}"/>
    <cellStyle name="Normal 8 5 3 2 2" xfId="7432" xr:uid="{00000000-0005-0000-0000-0000351E0000}"/>
    <cellStyle name="Normal 8 5 3 3" xfId="5287" xr:uid="{00000000-0005-0000-0000-0000361E0000}"/>
    <cellStyle name="Normal 8 5 4" xfId="1392" xr:uid="{00000000-0005-0000-0000-0000371E0000}"/>
    <cellStyle name="Normal 8 5 4 2" xfId="3622" xr:uid="{00000000-0005-0000-0000-0000381E0000}"/>
    <cellStyle name="Normal 8 5 4 2 2" xfId="7845" xr:uid="{00000000-0005-0000-0000-0000391E0000}"/>
    <cellStyle name="Normal 8 5 4 3" xfId="5700" xr:uid="{00000000-0005-0000-0000-00003A1E0000}"/>
    <cellStyle name="Normal 8 5 5" xfId="1805" xr:uid="{00000000-0005-0000-0000-00003B1E0000}"/>
    <cellStyle name="Normal 8 5 5 2" xfId="4035" xr:uid="{00000000-0005-0000-0000-00003C1E0000}"/>
    <cellStyle name="Normal 8 5 5 2 2" xfId="8258" xr:uid="{00000000-0005-0000-0000-00003D1E0000}"/>
    <cellStyle name="Normal 8 5 5 3" xfId="6113" xr:uid="{00000000-0005-0000-0000-00003E1E0000}"/>
    <cellStyle name="Normal 8 5 6" xfId="2219" xr:uid="{00000000-0005-0000-0000-00003F1E0000}"/>
    <cellStyle name="Normal 8 5 6 2" xfId="4448" xr:uid="{00000000-0005-0000-0000-0000401E0000}"/>
    <cellStyle name="Normal 8 5 6 2 2" xfId="8671" xr:uid="{00000000-0005-0000-0000-0000411E0000}"/>
    <cellStyle name="Normal 8 5 6 3" xfId="6526" xr:uid="{00000000-0005-0000-0000-0000421E0000}"/>
    <cellStyle name="Normal 8 5 7" xfId="2655" xr:uid="{00000000-0005-0000-0000-0000431E0000}"/>
    <cellStyle name="Normal 8 5 7 2" xfId="6939" xr:uid="{00000000-0005-0000-0000-0000441E0000}"/>
    <cellStyle name="Normal 8 5 8" xfId="4874"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4" xr:uid="{00000000-0005-0000-0000-0000491E0000}"/>
    <cellStyle name="Normal 8 6 2 3" xfId="5289" xr:uid="{00000000-0005-0000-0000-00004A1E0000}"/>
    <cellStyle name="Normal 8 6 3" xfId="1394" xr:uid="{00000000-0005-0000-0000-00004B1E0000}"/>
    <cellStyle name="Normal 8 6 3 2" xfId="3624" xr:uid="{00000000-0005-0000-0000-00004C1E0000}"/>
    <cellStyle name="Normal 8 6 3 2 2" xfId="7847" xr:uid="{00000000-0005-0000-0000-00004D1E0000}"/>
    <cellStyle name="Normal 8 6 3 3" xfId="5702" xr:uid="{00000000-0005-0000-0000-00004E1E0000}"/>
    <cellStyle name="Normal 8 6 4" xfId="1807" xr:uid="{00000000-0005-0000-0000-00004F1E0000}"/>
    <cellStyle name="Normal 8 6 4 2" xfId="4037" xr:uid="{00000000-0005-0000-0000-0000501E0000}"/>
    <cellStyle name="Normal 8 6 4 2 2" xfId="8260" xr:uid="{00000000-0005-0000-0000-0000511E0000}"/>
    <cellStyle name="Normal 8 6 4 3" xfId="6115" xr:uid="{00000000-0005-0000-0000-0000521E0000}"/>
    <cellStyle name="Normal 8 6 5" xfId="2221" xr:uid="{00000000-0005-0000-0000-0000531E0000}"/>
    <cellStyle name="Normal 8 6 5 2" xfId="4450" xr:uid="{00000000-0005-0000-0000-0000541E0000}"/>
    <cellStyle name="Normal 8 6 5 2 2" xfId="8673" xr:uid="{00000000-0005-0000-0000-0000551E0000}"/>
    <cellStyle name="Normal 8 6 5 3" xfId="6528" xr:uid="{00000000-0005-0000-0000-0000561E0000}"/>
    <cellStyle name="Normal 8 6 6" xfId="2657" xr:uid="{00000000-0005-0000-0000-0000571E0000}"/>
    <cellStyle name="Normal 8 6 6 2" xfId="6941" xr:uid="{00000000-0005-0000-0000-0000581E0000}"/>
    <cellStyle name="Normal 8 6 7" xfId="4876" xr:uid="{00000000-0005-0000-0000-0000591E0000}"/>
    <cellStyle name="Normal 8 7" xfId="946" xr:uid="{00000000-0005-0000-0000-00005A1E0000}"/>
    <cellStyle name="Normal 8 7 2" xfId="3180" xr:uid="{00000000-0005-0000-0000-00005B1E0000}"/>
    <cellStyle name="Normal 8 7 2 2" xfId="7403" xr:uid="{00000000-0005-0000-0000-00005C1E0000}"/>
    <cellStyle name="Normal 8 7 3" xfId="5258" xr:uid="{00000000-0005-0000-0000-00005D1E0000}"/>
    <cellStyle name="Normal 8 8" xfId="1363" xr:uid="{00000000-0005-0000-0000-00005E1E0000}"/>
    <cellStyle name="Normal 8 8 2" xfId="3593" xr:uid="{00000000-0005-0000-0000-00005F1E0000}"/>
    <cellStyle name="Normal 8 8 2 2" xfId="7816" xr:uid="{00000000-0005-0000-0000-0000601E0000}"/>
    <cellStyle name="Normal 8 8 3" xfId="5671" xr:uid="{00000000-0005-0000-0000-0000611E0000}"/>
    <cellStyle name="Normal 8 9" xfId="1776" xr:uid="{00000000-0005-0000-0000-0000621E0000}"/>
    <cellStyle name="Normal 8 9 2" xfId="4006" xr:uid="{00000000-0005-0000-0000-0000631E0000}"/>
    <cellStyle name="Normal 8 9 2 2" xfId="8229" xr:uid="{00000000-0005-0000-0000-0000641E0000}"/>
    <cellStyle name="Normal 8 9 3" xfId="6084"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2" xr:uid="{00000000-0005-0000-0000-0000691E0000}"/>
    <cellStyle name="Normal 9 2 11" xfId="4877" xr:uid="{00000000-0005-0000-0000-00006A1E0000}"/>
    <cellStyle name="Normal 9 2 2" xfId="512" xr:uid="{00000000-0005-0000-0000-00006B1E0000}"/>
    <cellStyle name="Normal 9 2 2 10" xfId="4878"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39" xr:uid="{00000000-0005-0000-0000-0000721E0000}"/>
    <cellStyle name="Normal 9 2 2 2 2 2 2 3" xfId="5294" xr:uid="{00000000-0005-0000-0000-0000731E0000}"/>
    <cellStyle name="Normal 9 2 2 2 2 2 3" xfId="1399" xr:uid="{00000000-0005-0000-0000-0000741E0000}"/>
    <cellStyle name="Normal 9 2 2 2 2 2 3 2" xfId="3629" xr:uid="{00000000-0005-0000-0000-0000751E0000}"/>
    <cellStyle name="Normal 9 2 2 2 2 2 3 2 2" xfId="7852" xr:uid="{00000000-0005-0000-0000-0000761E0000}"/>
    <cellStyle name="Normal 9 2 2 2 2 2 3 3" xfId="5707" xr:uid="{00000000-0005-0000-0000-0000771E0000}"/>
    <cellStyle name="Normal 9 2 2 2 2 2 4" xfId="1812" xr:uid="{00000000-0005-0000-0000-0000781E0000}"/>
    <cellStyle name="Normal 9 2 2 2 2 2 4 2" xfId="4042" xr:uid="{00000000-0005-0000-0000-0000791E0000}"/>
    <cellStyle name="Normal 9 2 2 2 2 2 4 2 2" xfId="8265" xr:uid="{00000000-0005-0000-0000-00007A1E0000}"/>
    <cellStyle name="Normal 9 2 2 2 2 2 4 3" xfId="6120" xr:uid="{00000000-0005-0000-0000-00007B1E0000}"/>
    <cellStyle name="Normal 9 2 2 2 2 2 5" xfId="2226" xr:uid="{00000000-0005-0000-0000-00007C1E0000}"/>
    <cellStyle name="Normal 9 2 2 2 2 2 5 2" xfId="4455" xr:uid="{00000000-0005-0000-0000-00007D1E0000}"/>
    <cellStyle name="Normal 9 2 2 2 2 2 5 2 2" xfId="8678" xr:uid="{00000000-0005-0000-0000-00007E1E0000}"/>
    <cellStyle name="Normal 9 2 2 2 2 2 5 3" xfId="6533" xr:uid="{00000000-0005-0000-0000-00007F1E0000}"/>
    <cellStyle name="Normal 9 2 2 2 2 2 6" xfId="2662" xr:uid="{00000000-0005-0000-0000-0000801E0000}"/>
    <cellStyle name="Normal 9 2 2 2 2 2 6 2" xfId="6946" xr:uid="{00000000-0005-0000-0000-0000811E0000}"/>
    <cellStyle name="Normal 9 2 2 2 2 2 7" xfId="4881" xr:uid="{00000000-0005-0000-0000-0000821E0000}"/>
    <cellStyle name="Normal 9 2 2 2 2 3" xfId="982" xr:uid="{00000000-0005-0000-0000-0000831E0000}"/>
    <cellStyle name="Normal 9 2 2 2 2 3 2" xfId="3215" xr:uid="{00000000-0005-0000-0000-0000841E0000}"/>
    <cellStyle name="Normal 9 2 2 2 2 3 2 2" xfId="7438" xr:uid="{00000000-0005-0000-0000-0000851E0000}"/>
    <cellStyle name="Normal 9 2 2 2 2 3 3" xfId="5293" xr:uid="{00000000-0005-0000-0000-0000861E0000}"/>
    <cellStyle name="Normal 9 2 2 2 2 4" xfId="1398" xr:uid="{00000000-0005-0000-0000-0000871E0000}"/>
    <cellStyle name="Normal 9 2 2 2 2 4 2" xfId="3628" xr:uid="{00000000-0005-0000-0000-0000881E0000}"/>
    <cellStyle name="Normal 9 2 2 2 2 4 2 2" xfId="7851" xr:uid="{00000000-0005-0000-0000-0000891E0000}"/>
    <cellStyle name="Normal 9 2 2 2 2 4 3" xfId="5706" xr:uid="{00000000-0005-0000-0000-00008A1E0000}"/>
    <cellStyle name="Normal 9 2 2 2 2 5" xfId="1811" xr:uid="{00000000-0005-0000-0000-00008B1E0000}"/>
    <cellStyle name="Normal 9 2 2 2 2 5 2" xfId="4041" xr:uid="{00000000-0005-0000-0000-00008C1E0000}"/>
    <cellStyle name="Normal 9 2 2 2 2 5 2 2" xfId="8264" xr:uid="{00000000-0005-0000-0000-00008D1E0000}"/>
    <cellStyle name="Normal 9 2 2 2 2 5 3" xfId="6119" xr:uid="{00000000-0005-0000-0000-00008E1E0000}"/>
    <cellStyle name="Normal 9 2 2 2 2 6" xfId="2225" xr:uid="{00000000-0005-0000-0000-00008F1E0000}"/>
    <cellStyle name="Normal 9 2 2 2 2 6 2" xfId="4454" xr:uid="{00000000-0005-0000-0000-0000901E0000}"/>
    <cellStyle name="Normal 9 2 2 2 2 6 2 2" xfId="8677" xr:uid="{00000000-0005-0000-0000-0000911E0000}"/>
    <cellStyle name="Normal 9 2 2 2 2 6 3" xfId="6532" xr:uid="{00000000-0005-0000-0000-0000921E0000}"/>
    <cellStyle name="Normal 9 2 2 2 2 7" xfId="2661" xr:uid="{00000000-0005-0000-0000-0000931E0000}"/>
    <cellStyle name="Normal 9 2 2 2 2 7 2" xfId="6945" xr:uid="{00000000-0005-0000-0000-0000941E0000}"/>
    <cellStyle name="Normal 9 2 2 2 2 8" xfId="4880"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0" xr:uid="{00000000-0005-0000-0000-0000991E0000}"/>
    <cellStyle name="Normal 9 2 2 2 3 2 3" xfId="5295" xr:uid="{00000000-0005-0000-0000-00009A1E0000}"/>
    <cellStyle name="Normal 9 2 2 2 3 3" xfId="1400" xr:uid="{00000000-0005-0000-0000-00009B1E0000}"/>
    <cellStyle name="Normal 9 2 2 2 3 3 2" xfId="3630" xr:uid="{00000000-0005-0000-0000-00009C1E0000}"/>
    <cellStyle name="Normal 9 2 2 2 3 3 2 2" xfId="7853" xr:uid="{00000000-0005-0000-0000-00009D1E0000}"/>
    <cellStyle name="Normal 9 2 2 2 3 3 3" xfId="5708" xr:uid="{00000000-0005-0000-0000-00009E1E0000}"/>
    <cellStyle name="Normal 9 2 2 2 3 4" xfId="1813" xr:uid="{00000000-0005-0000-0000-00009F1E0000}"/>
    <cellStyle name="Normal 9 2 2 2 3 4 2" xfId="4043" xr:uid="{00000000-0005-0000-0000-0000A01E0000}"/>
    <cellStyle name="Normal 9 2 2 2 3 4 2 2" xfId="8266" xr:uid="{00000000-0005-0000-0000-0000A11E0000}"/>
    <cellStyle name="Normal 9 2 2 2 3 4 3" xfId="6121" xr:uid="{00000000-0005-0000-0000-0000A21E0000}"/>
    <cellStyle name="Normal 9 2 2 2 3 5" xfId="2227" xr:uid="{00000000-0005-0000-0000-0000A31E0000}"/>
    <cellStyle name="Normal 9 2 2 2 3 5 2" xfId="4456" xr:uid="{00000000-0005-0000-0000-0000A41E0000}"/>
    <cellStyle name="Normal 9 2 2 2 3 5 2 2" xfId="8679" xr:uid="{00000000-0005-0000-0000-0000A51E0000}"/>
    <cellStyle name="Normal 9 2 2 2 3 5 3" xfId="6534" xr:uid="{00000000-0005-0000-0000-0000A61E0000}"/>
    <cellStyle name="Normal 9 2 2 2 3 6" xfId="2663" xr:uid="{00000000-0005-0000-0000-0000A71E0000}"/>
    <cellStyle name="Normal 9 2 2 2 3 6 2" xfId="6947" xr:uid="{00000000-0005-0000-0000-0000A81E0000}"/>
    <cellStyle name="Normal 9 2 2 2 3 7" xfId="4882" xr:uid="{00000000-0005-0000-0000-0000A91E0000}"/>
    <cellStyle name="Normal 9 2 2 2 4" xfId="981" xr:uid="{00000000-0005-0000-0000-0000AA1E0000}"/>
    <cellStyle name="Normal 9 2 2 2 4 2" xfId="3214" xr:uid="{00000000-0005-0000-0000-0000AB1E0000}"/>
    <cellStyle name="Normal 9 2 2 2 4 2 2" xfId="7437" xr:uid="{00000000-0005-0000-0000-0000AC1E0000}"/>
    <cellStyle name="Normal 9 2 2 2 4 3" xfId="5292" xr:uid="{00000000-0005-0000-0000-0000AD1E0000}"/>
    <cellStyle name="Normal 9 2 2 2 5" xfId="1397" xr:uid="{00000000-0005-0000-0000-0000AE1E0000}"/>
    <cellStyle name="Normal 9 2 2 2 5 2" xfId="3627" xr:uid="{00000000-0005-0000-0000-0000AF1E0000}"/>
    <cellStyle name="Normal 9 2 2 2 5 2 2" xfId="7850" xr:uid="{00000000-0005-0000-0000-0000B01E0000}"/>
    <cellStyle name="Normal 9 2 2 2 5 3" xfId="5705" xr:uid="{00000000-0005-0000-0000-0000B11E0000}"/>
    <cellStyle name="Normal 9 2 2 2 6" xfId="1810" xr:uid="{00000000-0005-0000-0000-0000B21E0000}"/>
    <cellStyle name="Normal 9 2 2 2 6 2" xfId="4040" xr:uid="{00000000-0005-0000-0000-0000B31E0000}"/>
    <cellStyle name="Normal 9 2 2 2 6 2 2" xfId="8263" xr:uid="{00000000-0005-0000-0000-0000B41E0000}"/>
    <cellStyle name="Normal 9 2 2 2 6 3" xfId="6118" xr:uid="{00000000-0005-0000-0000-0000B51E0000}"/>
    <cellStyle name="Normal 9 2 2 2 7" xfId="2224" xr:uid="{00000000-0005-0000-0000-0000B61E0000}"/>
    <cellStyle name="Normal 9 2 2 2 7 2" xfId="4453" xr:uid="{00000000-0005-0000-0000-0000B71E0000}"/>
    <cellStyle name="Normal 9 2 2 2 7 2 2" xfId="8676" xr:uid="{00000000-0005-0000-0000-0000B81E0000}"/>
    <cellStyle name="Normal 9 2 2 2 7 3" xfId="6531" xr:uid="{00000000-0005-0000-0000-0000B91E0000}"/>
    <cellStyle name="Normal 9 2 2 2 8" xfId="2660" xr:uid="{00000000-0005-0000-0000-0000BA1E0000}"/>
    <cellStyle name="Normal 9 2 2 2 8 2" xfId="6944" xr:uid="{00000000-0005-0000-0000-0000BB1E0000}"/>
    <cellStyle name="Normal 9 2 2 2 9" xfId="4879"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2" xr:uid="{00000000-0005-0000-0000-0000C11E0000}"/>
    <cellStyle name="Normal 9 2 2 3 2 2 3" xfId="5297" xr:uid="{00000000-0005-0000-0000-0000C21E0000}"/>
    <cellStyle name="Normal 9 2 2 3 2 3" xfId="1402" xr:uid="{00000000-0005-0000-0000-0000C31E0000}"/>
    <cellStyle name="Normal 9 2 2 3 2 3 2" xfId="3632" xr:uid="{00000000-0005-0000-0000-0000C41E0000}"/>
    <cellStyle name="Normal 9 2 2 3 2 3 2 2" xfId="7855" xr:uid="{00000000-0005-0000-0000-0000C51E0000}"/>
    <cellStyle name="Normal 9 2 2 3 2 3 3" xfId="5710" xr:uid="{00000000-0005-0000-0000-0000C61E0000}"/>
    <cellStyle name="Normal 9 2 2 3 2 4" xfId="1815" xr:uid="{00000000-0005-0000-0000-0000C71E0000}"/>
    <cellStyle name="Normal 9 2 2 3 2 4 2" xfId="4045" xr:uid="{00000000-0005-0000-0000-0000C81E0000}"/>
    <cellStyle name="Normal 9 2 2 3 2 4 2 2" xfId="8268" xr:uid="{00000000-0005-0000-0000-0000C91E0000}"/>
    <cellStyle name="Normal 9 2 2 3 2 4 3" xfId="6123" xr:uid="{00000000-0005-0000-0000-0000CA1E0000}"/>
    <cellStyle name="Normal 9 2 2 3 2 5" xfId="2229" xr:uid="{00000000-0005-0000-0000-0000CB1E0000}"/>
    <cellStyle name="Normal 9 2 2 3 2 5 2" xfId="4458" xr:uid="{00000000-0005-0000-0000-0000CC1E0000}"/>
    <cellStyle name="Normal 9 2 2 3 2 5 2 2" xfId="8681" xr:uid="{00000000-0005-0000-0000-0000CD1E0000}"/>
    <cellStyle name="Normal 9 2 2 3 2 5 3" xfId="6536" xr:uid="{00000000-0005-0000-0000-0000CE1E0000}"/>
    <cellStyle name="Normal 9 2 2 3 2 6" xfId="2665" xr:uid="{00000000-0005-0000-0000-0000CF1E0000}"/>
    <cellStyle name="Normal 9 2 2 3 2 6 2" xfId="6949" xr:uid="{00000000-0005-0000-0000-0000D01E0000}"/>
    <cellStyle name="Normal 9 2 2 3 2 7" xfId="4884" xr:uid="{00000000-0005-0000-0000-0000D11E0000}"/>
    <cellStyle name="Normal 9 2 2 3 3" xfId="985" xr:uid="{00000000-0005-0000-0000-0000D21E0000}"/>
    <cellStyle name="Normal 9 2 2 3 3 2" xfId="3218" xr:uid="{00000000-0005-0000-0000-0000D31E0000}"/>
    <cellStyle name="Normal 9 2 2 3 3 2 2" xfId="7441" xr:uid="{00000000-0005-0000-0000-0000D41E0000}"/>
    <cellStyle name="Normal 9 2 2 3 3 3" xfId="5296" xr:uid="{00000000-0005-0000-0000-0000D51E0000}"/>
    <cellStyle name="Normal 9 2 2 3 4" xfId="1401" xr:uid="{00000000-0005-0000-0000-0000D61E0000}"/>
    <cellStyle name="Normal 9 2 2 3 4 2" xfId="3631" xr:uid="{00000000-0005-0000-0000-0000D71E0000}"/>
    <cellStyle name="Normal 9 2 2 3 4 2 2" xfId="7854" xr:uid="{00000000-0005-0000-0000-0000D81E0000}"/>
    <cellStyle name="Normal 9 2 2 3 4 3" xfId="5709" xr:uid="{00000000-0005-0000-0000-0000D91E0000}"/>
    <cellStyle name="Normal 9 2 2 3 5" xfId="1814" xr:uid="{00000000-0005-0000-0000-0000DA1E0000}"/>
    <cellStyle name="Normal 9 2 2 3 5 2" xfId="4044" xr:uid="{00000000-0005-0000-0000-0000DB1E0000}"/>
    <cellStyle name="Normal 9 2 2 3 5 2 2" xfId="8267" xr:uid="{00000000-0005-0000-0000-0000DC1E0000}"/>
    <cellStyle name="Normal 9 2 2 3 5 3" xfId="6122" xr:uid="{00000000-0005-0000-0000-0000DD1E0000}"/>
    <cellStyle name="Normal 9 2 2 3 6" xfId="2228" xr:uid="{00000000-0005-0000-0000-0000DE1E0000}"/>
    <cellStyle name="Normal 9 2 2 3 6 2" xfId="4457" xr:uid="{00000000-0005-0000-0000-0000DF1E0000}"/>
    <cellStyle name="Normal 9 2 2 3 6 2 2" xfId="8680" xr:uid="{00000000-0005-0000-0000-0000E01E0000}"/>
    <cellStyle name="Normal 9 2 2 3 6 3" xfId="6535" xr:uid="{00000000-0005-0000-0000-0000E11E0000}"/>
    <cellStyle name="Normal 9 2 2 3 7" xfId="2664" xr:uid="{00000000-0005-0000-0000-0000E21E0000}"/>
    <cellStyle name="Normal 9 2 2 3 7 2" xfId="6948" xr:uid="{00000000-0005-0000-0000-0000E31E0000}"/>
    <cellStyle name="Normal 9 2 2 3 8" xfId="4883"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3" xr:uid="{00000000-0005-0000-0000-0000E81E0000}"/>
    <cellStyle name="Normal 9 2 2 4 2 3" xfId="5298" xr:uid="{00000000-0005-0000-0000-0000E91E0000}"/>
    <cellStyle name="Normal 9 2 2 4 3" xfId="1403" xr:uid="{00000000-0005-0000-0000-0000EA1E0000}"/>
    <cellStyle name="Normal 9 2 2 4 3 2" xfId="3633" xr:uid="{00000000-0005-0000-0000-0000EB1E0000}"/>
    <cellStyle name="Normal 9 2 2 4 3 2 2" xfId="7856" xr:uid="{00000000-0005-0000-0000-0000EC1E0000}"/>
    <cellStyle name="Normal 9 2 2 4 3 3" xfId="5711" xr:uid="{00000000-0005-0000-0000-0000ED1E0000}"/>
    <cellStyle name="Normal 9 2 2 4 4" xfId="1816" xr:uid="{00000000-0005-0000-0000-0000EE1E0000}"/>
    <cellStyle name="Normal 9 2 2 4 4 2" xfId="4046" xr:uid="{00000000-0005-0000-0000-0000EF1E0000}"/>
    <cellStyle name="Normal 9 2 2 4 4 2 2" xfId="8269" xr:uid="{00000000-0005-0000-0000-0000F01E0000}"/>
    <cellStyle name="Normal 9 2 2 4 4 3" xfId="6124" xr:uid="{00000000-0005-0000-0000-0000F11E0000}"/>
    <cellStyle name="Normal 9 2 2 4 5" xfId="2230" xr:uid="{00000000-0005-0000-0000-0000F21E0000}"/>
    <cellStyle name="Normal 9 2 2 4 5 2" xfId="4459" xr:uid="{00000000-0005-0000-0000-0000F31E0000}"/>
    <cellStyle name="Normal 9 2 2 4 5 2 2" xfId="8682" xr:uid="{00000000-0005-0000-0000-0000F41E0000}"/>
    <cellStyle name="Normal 9 2 2 4 5 3" xfId="6537" xr:uid="{00000000-0005-0000-0000-0000F51E0000}"/>
    <cellStyle name="Normal 9 2 2 4 6" xfId="2666" xr:uid="{00000000-0005-0000-0000-0000F61E0000}"/>
    <cellStyle name="Normal 9 2 2 4 6 2" xfId="6950" xr:uid="{00000000-0005-0000-0000-0000F71E0000}"/>
    <cellStyle name="Normal 9 2 2 4 7" xfId="4885" xr:uid="{00000000-0005-0000-0000-0000F81E0000}"/>
    <cellStyle name="Normal 9 2 2 5" xfId="980" xr:uid="{00000000-0005-0000-0000-0000F91E0000}"/>
    <cellStyle name="Normal 9 2 2 5 2" xfId="3213" xr:uid="{00000000-0005-0000-0000-0000FA1E0000}"/>
    <cellStyle name="Normal 9 2 2 5 2 2" xfId="7436" xr:uid="{00000000-0005-0000-0000-0000FB1E0000}"/>
    <cellStyle name="Normal 9 2 2 5 3" xfId="5291" xr:uid="{00000000-0005-0000-0000-0000FC1E0000}"/>
    <cellStyle name="Normal 9 2 2 6" xfId="1396" xr:uid="{00000000-0005-0000-0000-0000FD1E0000}"/>
    <cellStyle name="Normal 9 2 2 6 2" xfId="3626" xr:uid="{00000000-0005-0000-0000-0000FE1E0000}"/>
    <cellStyle name="Normal 9 2 2 6 2 2" xfId="7849" xr:uid="{00000000-0005-0000-0000-0000FF1E0000}"/>
    <cellStyle name="Normal 9 2 2 6 3" xfId="5704" xr:uid="{00000000-0005-0000-0000-0000001F0000}"/>
    <cellStyle name="Normal 9 2 2 7" xfId="1809" xr:uid="{00000000-0005-0000-0000-0000011F0000}"/>
    <cellStyle name="Normal 9 2 2 7 2" xfId="4039" xr:uid="{00000000-0005-0000-0000-0000021F0000}"/>
    <cellStyle name="Normal 9 2 2 7 2 2" xfId="8262" xr:uid="{00000000-0005-0000-0000-0000031F0000}"/>
    <cellStyle name="Normal 9 2 2 7 3" xfId="6117" xr:uid="{00000000-0005-0000-0000-0000041F0000}"/>
    <cellStyle name="Normal 9 2 2 8" xfId="2223" xr:uid="{00000000-0005-0000-0000-0000051F0000}"/>
    <cellStyle name="Normal 9 2 2 8 2" xfId="4452" xr:uid="{00000000-0005-0000-0000-0000061F0000}"/>
    <cellStyle name="Normal 9 2 2 8 2 2" xfId="8675" xr:uid="{00000000-0005-0000-0000-0000071F0000}"/>
    <cellStyle name="Normal 9 2 2 8 3" xfId="6530" xr:uid="{00000000-0005-0000-0000-0000081F0000}"/>
    <cellStyle name="Normal 9 2 2 9" xfId="2659" xr:uid="{00000000-0005-0000-0000-0000091F0000}"/>
    <cellStyle name="Normal 9 2 2 9 2" xfId="6943"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6" xr:uid="{00000000-0005-0000-0000-0000101F0000}"/>
    <cellStyle name="Normal 9 2 3 2 2 2 3" xfId="5301" xr:uid="{00000000-0005-0000-0000-0000111F0000}"/>
    <cellStyle name="Normal 9 2 3 2 2 3" xfId="1406" xr:uid="{00000000-0005-0000-0000-0000121F0000}"/>
    <cellStyle name="Normal 9 2 3 2 2 3 2" xfId="3636" xr:uid="{00000000-0005-0000-0000-0000131F0000}"/>
    <cellStyle name="Normal 9 2 3 2 2 3 2 2" xfId="7859" xr:uid="{00000000-0005-0000-0000-0000141F0000}"/>
    <cellStyle name="Normal 9 2 3 2 2 3 3" xfId="5714" xr:uid="{00000000-0005-0000-0000-0000151F0000}"/>
    <cellStyle name="Normal 9 2 3 2 2 4" xfId="1819" xr:uid="{00000000-0005-0000-0000-0000161F0000}"/>
    <cellStyle name="Normal 9 2 3 2 2 4 2" xfId="4049" xr:uid="{00000000-0005-0000-0000-0000171F0000}"/>
    <cellStyle name="Normal 9 2 3 2 2 4 2 2" xfId="8272" xr:uid="{00000000-0005-0000-0000-0000181F0000}"/>
    <cellStyle name="Normal 9 2 3 2 2 4 3" xfId="6127" xr:uid="{00000000-0005-0000-0000-0000191F0000}"/>
    <cellStyle name="Normal 9 2 3 2 2 5" xfId="2233" xr:uid="{00000000-0005-0000-0000-00001A1F0000}"/>
    <cellStyle name="Normal 9 2 3 2 2 5 2" xfId="4462" xr:uid="{00000000-0005-0000-0000-00001B1F0000}"/>
    <cellStyle name="Normal 9 2 3 2 2 5 2 2" xfId="8685" xr:uid="{00000000-0005-0000-0000-00001C1F0000}"/>
    <cellStyle name="Normal 9 2 3 2 2 5 3" xfId="6540" xr:uid="{00000000-0005-0000-0000-00001D1F0000}"/>
    <cellStyle name="Normal 9 2 3 2 2 6" xfId="2669" xr:uid="{00000000-0005-0000-0000-00001E1F0000}"/>
    <cellStyle name="Normal 9 2 3 2 2 6 2" xfId="6953" xr:uid="{00000000-0005-0000-0000-00001F1F0000}"/>
    <cellStyle name="Normal 9 2 3 2 2 7" xfId="4888" xr:uid="{00000000-0005-0000-0000-0000201F0000}"/>
    <cellStyle name="Normal 9 2 3 2 3" xfId="989" xr:uid="{00000000-0005-0000-0000-0000211F0000}"/>
    <cellStyle name="Normal 9 2 3 2 3 2" xfId="3222" xr:uid="{00000000-0005-0000-0000-0000221F0000}"/>
    <cellStyle name="Normal 9 2 3 2 3 2 2" xfId="7445" xr:uid="{00000000-0005-0000-0000-0000231F0000}"/>
    <cellStyle name="Normal 9 2 3 2 3 3" xfId="5300" xr:uid="{00000000-0005-0000-0000-0000241F0000}"/>
    <cellStyle name="Normal 9 2 3 2 4" xfId="1405" xr:uid="{00000000-0005-0000-0000-0000251F0000}"/>
    <cellStyle name="Normal 9 2 3 2 4 2" xfId="3635" xr:uid="{00000000-0005-0000-0000-0000261F0000}"/>
    <cellStyle name="Normal 9 2 3 2 4 2 2" xfId="7858" xr:uid="{00000000-0005-0000-0000-0000271F0000}"/>
    <cellStyle name="Normal 9 2 3 2 4 3" xfId="5713" xr:uid="{00000000-0005-0000-0000-0000281F0000}"/>
    <cellStyle name="Normal 9 2 3 2 5" xfId="1818" xr:uid="{00000000-0005-0000-0000-0000291F0000}"/>
    <cellStyle name="Normal 9 2 3 2 5 2" xfId="4048" xr:uid="{00000000-0005-0000-0000-00002A1F0000}"/>
    <cellStyle name="Normal 9 2 3 2 5 2 2" xfId="8271" xr:uid="{00000000-0005-0000-0000-00002B1F0000}"/>
    <cellStyle name="Normal 9 2 3 2 5 3" xfId="6126" xr:uid="{00000000-0005-0000-0000-00002C1F0000}"/>
    <cellStyle name="Normal 9 2 3 2 6" xfId="2232" xr:uid="{00000000-0005-0000-0000-00002D1F0000}"/>
    <cellStyle name="Normal 9 2 3 2 6 2" xfId="4461" xr:uid="{00000000-0005-0000-0000-00002E1F0000}"/>
    <cellStyle name="Normal 9 2 3 2 6 2 2" xfId="8684" xr:uid="{00000000-0005-0000-0000-00002F1F0000}"/>
    <cellStyle name="Normal 9 2 3 2 6 3" xfId="6539" xr:uid="{00000000-0005-0000-0000-0000301F0000}"/>
    <cellStyle name="Normal 9 2 3 2 7" xfId="2668" xr:uid="{00000000-0005-0000-0000-0000311F0000}"/>
    <cellStyle name="Normal 9 2 3 2 7 2" xfId="6952" xr:uid="{00000000-0005-0000-0000-0000321F0000}"/>
    <cellStyle name="Normal 9 2 3 2 8" xfId="4887"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7" xr:uid="{00000000-0005-0000-0000-0000371F0000}"/>
    <cellStyle name="Normal 9 2 3 3 2 3" xfId="5302" xr:uid="{00000000-0005-0000-0000-0000381F0000}"/>
    <cellStyle name="Normal 9 2 3 3 3" xfId="1407" xr:uid="{00000000-0005-0000-0000-0000391F0000}"/>
    <cellStyle name="Normal 9 2 3 3 3 2" xfId="3637" xr:uid="{00000000-0005-0000-0000-00003A1F0000}"/>
    <cellStyle name="Normal 9 2 3 3 3 2 2" xfId="7860" xr:uid="{00000000-0005-0000-0000-00003B1F0000}"/>
    <cellStyle name="Normal 9 2 3 3 3 3" xfId="5715" xr:uid="{00000000-0005-0000-0000-00003C1F0000}"/>
    <cellStyle name="Normal 9 2 3 3 4" xfId="1820" xr:uid="{00000000-0005-0000-0000-00003D1F0000}"/>
    <cellStyle name="Normal 9 2 3 3 4 2" xfId="4050" xr:uid="{00000000-0005-0000-0000-00003E1F0000}"/>
    <cellStyle name="Normal 9 2 3 3 4 2 2" xfId="8273" xr:uid="{00000000-0005-0000-0000-00003F1F0000}"/>
    <cellStyle name="Normal 9 2 3 3 4 3" xfId="6128" xr:uid="{00000000-0005-0000-0000-0000401F0000}"/>
    <cellStyle name="Normal 9 2 3 3 5" xfId="2234" xr:uid="{00000000-0005-0000-0000-0000411F0000}"/>
    <cellStyle name="Normal 9 2 3 3 5 2" xfId="4463" xr:uid="{00000000-0005-0000-0000-0000421F0000}"/>
    <cellStyle name="Normal 9 2 3 3 5 2 2" xfId="8686" xr:uid="{00000000-0005-0000-0000-0000431F0000}"/>
    <cellStyle name="Normal 9 2 3 3 5 3" xfId="6541" xr:uid="{00000000-0005-0000-0000-0000441F0000}"/>
    <cellStyle name="Normal 9 2 3 3 6" xfId="2670" xr:uid="{00000000-0005-0000-0000-0000451F0000}"/>
    <cellStyle name="Normal 9 2 3 3 6 2" xfId="6954" xr:uid="{00000000-0005-0000-0000-0000461F0000}"/>
    <cellStyle name="Normal 9 2 3 3 7" xfId="4889" xr:uid="{00000000-0005-0000-0000-0000471F0000}"/>
    <cellStyle name="Normal 9 2 3 4" xfId="988" xr:uid="{00000000-0005-0000-0000-0000481F0000}"/>
    <cellStyle name="Normal 9 2 3 4 2" xfId="3221" xr:uid="{00000000-0005-0000-0000-0000491F0000}"/>
    <cellStyle name="Normal 9 2 3 4 2 2" xfId="7444" xr:uid="{00000000-0005-0000-0000-00004A1F0000}"/>
    <cellStyle name="Normal 9 2 3 4 3" xfId="5299" xr:uid="{00000000-0005-0000-0000-00004B1F0000}"/>
    <cellStyle name="Normal 9 2 3 5" xfId="1404" xr:uid="{00000000-0005-0000-0000-00004C1F0000}"/>
    <cellStyle name="Normal 9 2 3 5 2" xfId="3634" xr:uid="{00000000-0005-0000-0000-00004D1F0000}"/>
    <cellStyle name="Normal 9 2 3 5 2 2" xfId="7857" xr:uid="{00000000-0005-0000-0000-00004E1F0000}"/>
    <cellStyle name="Normal 9 2 3 5 3" xfId="5712" xr:uid="{00000000-0005-0000-0000-00004F1F0000}"/>
    <cellStyle name="Normal 9 2 3 6" xfId="1817" xr:uid="{00000000-0005-0000-0000-0000501F0000}"/>
    <cellStyle name="Normal 9 2 3 6 2" xfId="4047" xr:uid="{00000000-0005-0000-0000-0000511F0000}"/>
    <cellStyle name="Normal 9 2 3 6 2 2" xfId="8270" xr:uid="{00000000-0005-0000-0000-0000521F0000}"/>
    <cellStyle name="Normal 9 2 3 6 3" xfId="6125" xr:uid="{00000000-0005-0000-0000-0000531F0000}"/>
    <cellStyle name="Normal 9 2 3 7" xfId="2231" xr:uid="{00000000-0005-0000-0000-0000541F0000}"/>
    <cellStyle name="Normal 9 2 3 7 2" xfId="4460" xr:uid="{00000000-0005-0000-0000-0000551F0000}"/>
    <cellStyle name="Normal 9 2 3 7 2 2" xfId="8683" xr:uid="{00000000-0005-0000-0000-0000561F0000}"/>
    <cellStyle name="Normal 9 2 3 7 3" xfId="6538" xr:uid="{00000000-0005-0000-0000-0000571F0000}"/>
    <cellStyle name="Normal 9 2 3 8" xfId="2667" xr:uid="{00000000-0005-0000-0000-0000581F0000}"/>
    <cellStyle name="Normal 9 2 3 8 2" xfId="6951" xr:uid="{00000000-0005-0000-0000-0000591F0000}"/>
    <cellStyle name="Normal 9 2 3 9" xfId="4886"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49" xr:uid="{00000000-0005-0000-0000-00005F1F0000}"/>
    <cellStyle name="Normal 9 2 4 2 2 3" xfId="5304" xr:uid="{00000000-0005-0000-0000-0000601F0000}"/>
    <cellStyle name="Normal 9 2 4 2 3" xfId="1409" xr:uid="{00000000-0005-0000-0000-0000611F0000}"/>
    <cellStyle name="Normal 9 2 4 2 3 2" xfId="3639" xr:uid="{00000000-0005-0000-0000-0000621F0000}"/>
    <cellStyle name="Normal 9 2 4 2 3 2 2" xfId="7862" xr:uid="{00000000-0005-0000-0000-0000631F0000}"/>
    <cellStyle name="Normal 9 2 4 2 3 3" xfId="5717" xr:uid="{00000000-0005-0000-0000-0000641F0000}"/>
    <cellStyle name="Normal 9 2 4 2 4" xfId="1822" xr:uid="{00000000-0005-0000-0000-0000651F0000}"/>
    <cellStyle name="Normal 9 2 4 2 4 2" xfId="4052" xr:uid="{00000000-0005-0000-0000-0000661F0000}"/>
    <cellStyle name="Normal 9 2 4 2 4 2 2" xfId="8275" xr:uid="{00000000-0005-0000-0000-0000671F0000}"/>
    <cellStyle name="Normal 9 2 4 2 4 3" xfId="6130" xr:uid="{00000000-0005-0000-0000-0000681F0000}"/>
    <cellStyle name="Normal 9 2 4 2 5" xfId="2236" xr:uid="{00000000-0005-0000-0000-0000691F0000}"/>
    <cellStyle name="Normal 9 2 4 2 5 2" xfId="4465" xr:uid="{00000000-0005-0000-0000-00006A1F0000}"/>
    <cellStyle name="Normal 9 2 4 2 5 2 2" xfId="8688" xr:uid="{00000000-0005-0000-0000-00006B1F0000}"/>
    <cellStyle name="Normal 9 2 4 2 5 3" xfId="6543" xr:uid="{00000000-0005-0000-0000-00006C1F0000}"/>
    <cellStyle name="Normal 9 2 4 2 6" xfId="2672" xr:uid="{00000000-0005-0000-0000-00006D1F0000}"/>
    <cellStyle name="Normal 9 2 4 2 6 2" xfId="6956" xr:uid="{00000000-0005-0000-0000-00006E1F0000}"/>
    <cellStyle name="Normal 9 2 4 2 7" xfId="4891" xr:uid="{00000000-0005-0000-0000-00006F1F0000}"/>
    <cellStyle name="Normal 9 2 4 3" xfId="992" xr:uid="{00000000-0005-0000-0000-0000701F0000}"/>
    <cellStyle name="Normal 9 2 4 3 2" xfId="3225" xr:uid="{00000000-0005-0000-0000-0000711F0000}"/>
    <cellStyle name="Normal 9 2 4 3 2 2" xfId="7448" xr:uid="{00000000-0005-0000-0000-0000721F0000}"/>
    <cellStyle name="Normal 9 2 4 3 3" xfId="5303" xr:uid="{00000000-0005-0000-0000-0000731F0000}"/>
    <cellStyle name="Normal 9 2 4 4" xfId="1408" xr:uid="{00000000-0005-0000-0000-0000741F0000}"/>
    <cellStyle name="Normal 9 2 4 4 2" xfId="3638" xr:uid="{00000000-0005-0000-0000-0000751F0000}"/>
    <cellStyle name="Normal 9 2 4 4 2 2" xfId="7861" xr:uid="{00000000-0005-0000-0000-0000761F0000}"/>
    <cellStyle name="Normal 9 2 4 4 3" xfId="5716" xr:uid="{00000000-0005-0000-0000-0000771F0000}"/>
    <cellStyle name="Normal 9 2 4 5" xfId="1821" xr:uid="{00000000-0005-0000-0000-0000781F0000}"/>
    <cellStyle name="Normal 9 2 4 5 2" xfId="4051" xr:uid="{00000000-0005-0000-0000-0000791F0000}"/>
    <cellStyle name="Normal 9 2 4 5 2 2" xfId="8274" xr:uid="{00000000-0005-0000-0000-00007A1F0000}"/>
    <cellStyle name="Normal 9 2 4 5 3" xfId="6129" xr:uid="{00000000-0005-0000-0000-00007B1F0000}"/>
    <cellStyle name="Normal 9 2 4 6" xfId="2235" xr:uid="{00000000-0005-0000-0000-00007C1F0000}"/>
    <cellStyle name="Normal 9 2 4 6 2" xfId="4464" xr:uid="{00000000-0005-0000-0000-00007D1F0000}"/>
    <cellStyle name="Normal 9 2 4 6 2 2" xfId="8687" xr:uid="{00000000-0005-0000-0000-00007E1F0000}"/>
    <cellStyle name="Normal 9 2 4 6 3" xfId="6542" xr:uid="{00000000-0005-0000-0000-00007F1F0000}"/>
    <cellStyle name="Normal 9 2 4 7" xfId="2671" xr:uid="{00000000-0005-0000-0000-0000801F0000}"/>
    <cellStyle name="Normal 9 2 4 7 2" xfId="6955" xr:uid="{00000000-0005-0000-0000-0000811F0000}"/>
    <cellStyle name="Normal 9 2 4 8" xfId="4890"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0" xr:uid="{00000000-0005-0000-0000-0000861F0000}"/>
    <cellStyle name="Normal 9 2 5 2 3" xfId="5305" xr:uid="{00000000-0005-0000-0000-0000871F0000}"/>
    <cellStyle name="Normal 9 2 5 3" xfId="1410" xr:uid="{00000000-0005-0000-0000-0000881F0000}"/>
    <cellStyle name="Normal 9 2 5 3 2" xfId="3640" xr:uid="{00000000-0005-0000-0000-0000891F0000}"/>
    <cellStyle name="Normal 9 2 5 3 2 2" xfId="7863" xr:uid="{00000000-0005-0000-0000-00008A1F0000}"/>
    <cellStyle name="Normal 9 2 5 3 3" xfId="5718" xr:uid="{00000000-0005-0000-0000-00008B1F0000}"/>
    <cellStyle name="Normal 9 2 5 4" xfId="1823" xr:uid="{00000000-0005-0000-0000-00008C1F0000}"/>
    <cellStyle name="Normal 9 2 5 4 2" xfId="4053" xr:uid="{00000000-0005-0000-0000-00008D1F0000}"/>
    <cellStyle name="Normal 9 2 5 4 2 2" xfId="8276" xr:uid="{00000000-0005-0000-0000-00008E1F0000}"/>
    <cellStyle name="Normal 9 2 5 4 3" xfId="6131" xr:uid="{00000000-0005-0000-0000-00008F1F0000}"/>
    <cellStyle name="Normal 9 2 5 5" xfId="2237" xr:uid="{00000000-0005-0000-0000-0000901F0000}"/>
    <cellStyle name="Normal 9 2 5 5 2" xfId="4466" xr:uid="{00000000-0005-0000-0000-0000911F0000}"/>
    <cellStyle name="Normal 9 2 5 5 2 2" xfId="8689" xr:uid="{00000000-0005-0000-0000-0000921F0000}"/>
    <cellStyle name="Normal 9 2 5 5 3" xfId="6544" xr:uid="{00000000-0005-0000-0000-0000931F0000}"/>
    <cellStyle name="Normal 9 2 5 6" xfId="2673" xr:uid="{00000000-0005-0000-0000-0000941F0000}"/>
    <cellStyle name="Normal 9 2 5 6 2" xfId="6957" xr:uid="{00000000-0005-0000-0000-0000951F0000}"/>
    <cellStyle name="Normal 9 2 5 7" xfId="4892" xr:uid="{00000000-0005-0000-0000-0000961F0000}"/>
    <cellStyle name="Normal 9 2 6" xfId="979" xr:uid="{00000000-0005-0000-0000-0000971F0000}"/>
    <cellStyle name="Normal 9 2 6 2" xfId="3212" xr:uid="{00000000-0005-0000-0000-0000981F0000}"/>
    <cellStyle name="Normal 9 2 6 2 2" xfId="7435" xr:uid="{00000000-0005-0000-0000-0000991F0000}"/>
    <cellStyle name="Normal 9 2 6 3" xfId="5290" xr:uid="{00000000-0005-0000-0000-00009A1F0000}"/>
    <cellStyle name="Normal 9 2 7" xfId="1395" xr:uid="{00000000-0005-0000-0000-00009B1F0000}"/>
    <cellStyle name="Normal 9 2 7 2" xfId="3625" xr:uid="{00000000-0005-0000-0000-00009C1F0000}"/>
    <cellStyle name="Normal 9 2 7 2 2" xfId="7848" xr:uid="{00000000-0005-0000-0000-00009D1F0000}"/>
    <cellStyle name="Normal 9 2 7 3" xfId="5703" xr:uid="{00000000-0005-0000-0000-00009E1F0000}"/>
    <cellStyle name="Normal 9 2 8" xfId="1808" xr:uid="{00000000-0005-0000-0000-00009F1F0000}"/>
    <cellStyle name="Normal 9 2 8 2" xfId="4038" xr:uid="{00000000-0005-0000-0000-0000A01F0000}"/>
    <cellStyle name="Normal 9 2 8 2 2" xfId="8261" xr:uid="{00000000-0005-0000-0000-0000A11F0000}"/>
    <cellStyle name="Normal 9 2 8 3" xfId="6116" xr:uid="{00000000-0005-0000-0000-0000A21F0000}"/>
    <cellStyle name="Normal 9 2 9" xfId="2222" xr:uid="{00000000-0005-0000-0000-0000A31F0000}"/>
    <cellStyle name="Normal 9 2 9 2" xfId="4451" xr:uid="{00000000-0005-0000-0000-0000A41F0000}"/>
    <cellStyle name="Normal 9 2 9 2 2" xfId="8674" xr:uid="{00000000-0005-0000-0000-0000A51F0000}"/>
    <cellStyle name="Normal 9 2 9 3" xfId="6529" xr:uid="{00000000-0005-0000-0000-0000A61F0000}"/>
    <cellStyle name="Normal 9 3" xfId="527" xr:uid="{00000000-0005-0000-0000-0000A71F0000}"/>
    <cellStyle name="Normal 9 3 10" xfId="4893"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4" xr:uid="{00000000-0005-0000-0000-0000AE1F0000}"/>
    <cellStyle name="Normal 9 3 2 2 2 2 3" xfId="5309" xr:uid="{00000000-0005-0000-0000-0000AF1F0000}"/>
    <cellStyle name="Normal 9 3 2 2 2 3" xfId="1414" xr:uid="{00000000-0005-0000-0000-0000B01F0000}"/>
    <cellStyle name="Normal 9 3 2 2 2 3 2" xfId="3644" xr:uid="{00000000-0005-0000-0000-0000B11F0000}"/>
    <cellStyle name="Normal 9 3 2 2 2 3 2 2" xfId="7867" xr:uid="{00000000-0005-0000-0000-0000B21F0000}"/>
    <cellStyle name="Normal 9 3 2 2 2 3 3" xfId="5722" xr:uid="{00000000-0005-0000-0000-0000B31F0000}"/>
    <cellStyle name="Normal 9 3 2 2 2 4" xfId="1827" xr:uid="{00000000-0005-0000-0000-0000B41F0000}"/>
    <cellStyle name="Normal 9 3 2 2 2 4 2" xfId="4057" xr:uid="{00000000-0005-0000-0000-0000B51F0000}"/>
    <cellStyle name="Normal 9 3 2 2 2 4 2 2" xfId="8280" xr:uid="{00000000-0005-0000-0000-0000B61F0000}"/>
    <cellStyle name="Normal 9 3 2 2 2 4 3" xfId="6135" xr:uid="{00000000-0005-0000-0000-0000B71F0000}"/>
    <cellStyle name="Normal 9 3 2 2 2 5" xfId="2241" xr:uid="{00000000-0005-0000-0000-0000B81F0000}"/>
    <cellStyle name="Normal 9 3 2 2 2 5 2" xfId="4470" xr:uid="{00000000-0005-0000-0000-0000B91F0000}"/>
    <cellStyle name="Normal 9 3 2 2 2 5 2 2" xfId="8693" xr:uid="{00000000-0005-0000-0000-0000BA1F0000}"/>
    <cellStyle name="Normal 9 3 2 2 2 5 3" xfId="6548" xr:uid="{00000000-0005-0000-0000-0000BB1F0000}"/>
    <cellStyle name="Normal 9 3 2 2 2 6" xfId="2677" xr:uid="{00000000-0005-0000-0000-0000BC1F0000}"/>
    <cellStyle name="Normal 9 3 2 2 2 6 2" xfId="6961" xr:uid="{00000000-0005-0000-0000-0000BD1F0000}"/>
    <cellStyle name="Normal 9 3 2 2 2 7" xfId="4896" xr:uid="{00000000-0005-0000-0000-0000BE1F0000}"/>
    <cellStyle name="Normal 9 3 2 2 3" xfId="997" xr:uid="{00000000-0005-0000-0000-0000BF1F0000}"/>
    <cellStyle name="Normal 9 3 2 2 3 2" xfId="3230" xr:uid="{00000000-0005-0000-0000-0000C01F0000}"/>
    <cellStyle name="Normal 9 3 2 2 3 2 2" xfId="7453" xr:uid="{00000000-0005-0000-0000-0000C11F0000}"/>
    <cellStyle name="Normal 9 3 2 2 3 3" xfId="5308" xr:uid="{00000000-0005-0000-0000-0000C21F0000}"/>
    <cellStyle name="Normal 9 3 2 2 4" xfId="1413" xr:uid="{00000000-0005-0000-0000-0000C31F0000}"/>
    <cellStyle name="Normal 9 3 2 2 4 2" xfId="3643" xr:uid="{00000000-0005-0000-0000-0000C41F0000}"/>
    <cellStyle name="Normal 9 3 2 2 4 2 2" xfId="7866" xr:uid="{00000000-0005-0000-0000-0000C51F0000}"/>
    <cellStyle name="Normal 9 3 2 2 4 3" xfId="5721" xr:uid="{00000000-0005-0000-0000-0000C61F0000}"/>
    <cellStyle name="Normal 9 3 2 2 5" xfId="1826" xr:uid="{00000000-0005-0000-0000-0000C71F0000}"/>
    <cellStyle name="Normal 9 3 2 2 5 2" xfId="4056" xr:uid="{00000000-0005-0000-0000-0000C81F0000}"/>
    <cellStyle name="Normal 9 3 2 2 5 2 2" xfId="8279" xr:uid="{00000000-0005-0000-0000-0000C91F0000}"/>
    <cellStyle name="Normal 9 3 2 2 5 3" xfId="6134" xr:uid="{00000000-0005-0000-0000-0000CA1F0000}"/>
    <cellStyle name="Normal 9 3 2 2 6" xfId="2240" xr:uid="{00000000-0005-0000-0000-0000CB1F0000}"/>
    <cellStyle name="Normal 9 3 2 2 6 2" xfId="4469" xr:uid="{00000000-0005-0000-0000-0000CC1F0000}"/>
    <cellStyle name="Normal 9 3 2 2 6 2 2" xfId="8692" xr:uid="{00000000-0005-0000-0000-0000CD1F0000}"/>
    <cellStyle name="Normal 9 3 2 2 6 3" xfId="6547" xr:uid="{00000000-0005-0000-0000-0000CE1F0000}"/>
    <cellStyle name="Normal 9 3 2 2 7" xfId="2676" xr:uid="{00000000-0005-0000-0000-0000CF1F0000}"/>
    <cellStyle name="Normal 9 3 2 2 7 2" xfId="6960" xr:uid="{00000000-0005-0000-0000-0000D01F0000}"/>
    <cellStyle name="Normal 9 3 2 2 8" xfId="4895"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5" xr:uid="{00000000-0005-0000-0000-0000D51F0000}"/>
    <cellStyle name="Normal 9 3 2 3 2 3" xfId="5310" xr:uid="{00000000-0005-0000-0000-0000D61F0000}"/>
    <cellStyle name="Normal 9 3 2 3 3" xfId="1415" xr:uid="{00000000-0005-0000-0000-0000D71F0000}"/>
    <cellStyle name="Normal 9 3 2 3 3 2" xfId="3645" xr:uid="{00000000-0005-0000-0000-0000D81F0000}"/>
    <cellStyle name="Normal 9 3 2 3 3 2 2" xfId="7868" xr:uid="{00000000-0005-0000-0000-0000D91F0000}"/>
    <cellStyle name="Normal 9 3 2 3 3 3" xfId="5723" xr:uid="{00000000-0005-0000-0000-0000DA1F0000}"/>
    <cellStyle name="Normal 9 3 2 3 4" xfId="1828" xr:uid="{00000000-0005-0000-0000-0000DB1F0000}"/>
    <cellStyle name="Normal 9 3 2 3 4 2" xfId="4058" xr:uid="{00000000-0005-0000-0000-0000DC1F0000}"/>
    <cellStyle name="Normal 9 3 2 3 4 2 2" xfId="8281" xr:uid="{00000000-0005-0000-0000-0000DD1F0000}"/>
    <cellStyle name="Normal 9 3 2 3 4 3" xfId="6136" xr:uid="{00000000-0005-0000-0000-0000DE1F0000}"/>
    <cellStyle name="Normal 9 3 2 3 5" xfId="2242" xr:uid="{00000000-0005-0000-0000-0000DF1F0000}"/>
    <cellStyle name="Normal 9 3 2 3 5 2" xfId="4471" xr:uid="{00000000-0005-0000-0000-0000E01F0000}"/>
    <cellStyle name="Normal 9 3 2 3 5 2 2" xfId="8694" xr:uid="{00000000-0005-0000-0000-0000E11F0000}"/>
    <cellStyle name="Normal 9 3 2 3 5 3" xfId="6549" xr:uid="{00000000-0005-0000-0000-0000E21F0000}"/>
    <cellStyle name="Normal 9 3 2 3 6" xfId="2678" xr:uid="{00000000-0005-0000-0000-0000E31F0000}"/>
    <cellStyle name="Normal 9 3 2 3 6 2" xfId="6962" xr:uid="{00000000-0005-0000-0000-0000E41F0000}"/>
    <cellStyle name="Normal 9 3 2 3 7" xfId="4897" xr:uid="{00000000-0005-0000-0000-0000E51F0000}"/>
    <cellStyle name="Normal 9 3 2 4" xfId="996" xr:uid="{00000000-0005-0000-0000-0000E61F0000}"/>
    <cellStyle name="Normal 9 3 2 4 2" xfId="3229" xr:uid="{00000000-0005-0000-0000-0000E71F0000}"/>
    <cellStyle name="Normal 9 3 2 4 2 2" xfId="7452" xr:uid="{00000000-0005-0000-0000-0000E81F0000}"/>
    <cellStyle name="Normal 9 3 2 4 3" xfId="5307" xr:uid="{00000000-0005-0000-0000-0000E91F0000}"/>
    <cellStyle name="Normal 9 3 2 5" xfId="1412" xr:uid="{00000000-0005-0000-0000-0000EA1F0000}"/>
    <cellStyle name="Normal 9 3 2 5 2" xfId="3642" xr:uid="{00000000-0005-0000-0000-0000EB1F0000}"/>
    <cellStyle name="Normal 9 3 2 5 2 2" xfId="7865" xr:uid="{00000000-0005-0000-0000-0000EC1F0000}"/>
    <cellStyle name="Normal 9 3 2 5 3" xfId="5720" xr:uid="{00000000-0005-0000-0000-0000ED1F0000}"/>
    <cellStyle name="Normal 9 3 2 6" xfId="1825" xr:uid="{00000000-0005-0000-0000-0000EE1F0000}"/>
    <cellStyle name="Normal 9 3 2 6 2" xfId="4055" xr:uid="{00000000-0005-0000-0000-0000EF1F0000}"/>
    <cellStyle name="Normal 9 3 2 6 2 2" xfId="8278" xr:uid="{00000000-0005-0000-0000-0000F01F0000}"/>
    <cellStyle name="Normal 9 3 2 6 3" xfId="6133" xr:uid="{00000000-0005-0000-0000-0000F11F0000}"/>
    <cellStyle name="Normal 9 3 2 7" xfId="2239" xr:uid="{00000000-0005-0000-0000-0000F21F0000}"/>
    <cellStyle name="Normal 9 3 2 7 2" xfId="4468" xr:uid="{00000000-0005-0000-0000-0000F31F0000}"/>
    <cellStyle name="Normal 9 3 2 7 2 2" xfId="8691" xr:uid="{00000000-0005-0000-0000-0000F41F0000}"/>
    <cellStyle name="Normal 9 3 2 7 3" xfId="6546" xr:uid="{00000000-0005-0000-0000-0000F51F0000}"/>
    <cellStyle name="Normal 9 3 2 8" xfId="2675" xr:uid="{00000000-0005-0000-0000-0000F61F0000}"/>
    <cellStyle name="Normal 9 3 2 8 2" xfId="6959" xr:uid="{00000000-0005-0000-0000-0000F71F0000}"/>
    <cellStyle name="Normal 9 3 2 9" xfId="4894"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7" xr:uid="{00000000-0005-0000-0000-0000FD1F0000}"/>
    <cellStyle name="Normal 9 3 3 2 2 3" xfId="5312" xr:uid="{00000000-0005-0000-0000-0000FE1F0000}"/>
    <cellStyle name="Normal 9 3 3 2 3" xfId="1417" xr:uid="{00000000-0005-0000-0000-0000FF1F0000}"/>
    <cellStyle name="Normal 9 3 3 2 3 2" xfId="3647" xr:uid="{00000000-0005-0000-0000-000000200000}"/>
    <cellStyle name="Normal 9 3 3 2 3 2 2" xfId="7870" xr:uid="{00000000-0005-0000-0000-000001200000}"/>
    <cellStyle name="Normal 9 3 3 2 3 3" xfId="5725" xr:uid="{00000000-0005-0000-0000-000002200000}"/>
    <cellStyle name="Normal 9 3 3 2 4" xfId="1830" xr:uid="{00000000-0005-0000-0000-000003200000}"/>
    <cellStyle name="Normal 9 3 3 2 4 2" xfId="4060" xr:uid="{00000000-0005-0000-0000-000004200000}"/>
    <cellStyle name="Normal 9 3 3 2 4 2 2" xfId="8283" xr:uid="{00000000-0005-0000-0000-000005200000}"/>
    <cellStyle name="Normal 9 3 3 2 4 3" xfId="6138" xr:uid="{00000000-0005-0000-0000-000006200000}"/>
    <cellStyle name="Normal 9 3 3 2 5" xfId="2244" xr:uid="{00000000-0005-0000-0000-000007200000}"/>
    <cellStyle name="Normal 9 3 3 2 5 2" xfId="4473" xr:uid="{00000000-0005-0000-0000-000008200000}"/>
    <cellStyle name="Normal 9 3 3 2 5 2 2" xfId="8696" xr:uid="{00000000-0005-0000-0000-000009200000}"/>
    <cellStyle name="Normal 9 3 3 2 5 3" xfId="6551" xr:uid="{00000000-0005-0000-0000-00000A200000}"/>
    <cellStyle name="Normal 9 3 3 2 6" xfId="2680" xr:uid="{00000000-0005-0000-0000-00000B200000}"/>
    <cellStyle name="Normal 9 3 3 2 6 2" xfId="6964" xr:uid="{00000000-0005-0000-0000-00000C200000}"/>
    <cellStyle name="Normal 9 3 3 2 7" xfId="4899" xr:uid="{00000000-0005-0000-0000-00000D200000}"/>
    <cellStyle name="Normal 9 3 3 3" xfId="1000" xr:uid="{00000000-0005-0000-0000-00000E200000}"/>
    <cellStyle name="Normal 9 3 3 3 2" xfId="3233" xr:uid="{00000000-0005-0000-0000-00000F200000}"/>
    <cellStyle name="Normal 9 3 3 3 2 2" xfId="7456" xr:uid="{00000000-0005-0000-0000-000010200000}"/>
    <cellStyle name="Normal 9 3 3 3 3" xfId="5311" xr:uid="{00000000-0005-0000-0000-000011200000}"/>
    <cellStyle name="Normal 9 3 3 4" xfId="1416" xr:uid="{00000000-0005-0000-0000-000012200000}"/>
    <cellStyle name="Normal 9 3 3 4 2" xfId="3646" xr:uid="{00000000-0005-0000-0000-000013200000}"/>
    <cellStyle name="Normal 9 3 3 4 2 2" xfId="7869" xr:uid="{00000000-0005-0000-0000-000014200000}"/>
    <cellStyle name="Normal 9 3 3 4 3" xfId="5724" xr:uid="{00000000-0005-0000-0000-000015200000}"/>
    <cellStyle name="Normal 9 3 3 5" xfId="1829" xr:uid="{00000000-0005-0000-0000-000016200000}"/>
    <cellStyle name="Normal 9 3 3 5 2" xfId="4059" xr:uid="{00000000-0005-0000-0000-000017200000}"/>
    <cellStyle name="Normal 9 3 3 5 2 2" xfId="8282" xr:uid="{00000000-0005-0000-0000-000018200000}"/>
    <cellStyle name="Normal 9 3 3 5 3" xfId="6137" xr:uid="{00000000-0005-0000-0000-000019200000}"/>
    <cellStyle name="Normal 9 3 3 6" xfId="2243" xr:uid="{00000000-0005-0000-0000-00001A200000}"/>
    <cellStyle name="Normal 9 3 3 6 2" xfId="4472" xr:uid="{00000000-0005-0000-0000-00001B200000}"/>
    <cellStyle name="Normal 9 3 3 6 2 2" xfId="8695" xr:uid="{00000000-0005-0000-0000-00001C200000}"/>
    <cellStyle name="Normal 9 3 3 6 3" xfId="6550" xr:uid="{00000000-0005-0000-0000-00001D200000}"/>
    <cellStyle name="Normal 9 3 3 7" xfId="2679" xr:uid="{00000000-0005-0000-0000-00001E200000}"/>
    <cellStyle name="Normal 9 3 3 7 2" xfId="6963" xr:uid="{00000000-0005-0000-0000-00001F200000}"/>
    <cellStyle name="Normal 9 3 3 8" xfId="4898"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8" xr:uid="{00000000-0005-0000-0000-000024200000}"/>
    <cellStyle name="Normal 9 3 4 2 3" xfId="5313" xr:uid="{00000000-0005-0000-0000-000025200000}"/>
    <cellStyle name="Normal 9 3 4 3" xfId="1418" xr:uid="{00000000-0005-0000-0000-000026200000}"/>
    <cellStyle name="Normal 9 3 4 3 2" xfId="3648" xr:uid="{00000000-0005-0000-0000-000027200000}"/>
    <cellStyle name="Normal 9 3 4 3 2 2" xfId="7871" xr:uid="{00000000-0005-0000-0000-000028200000}"/>
    <cellStyle name="Normal 9 3 4 3 3" xfId="5726" xr:uid="{00000000-0005-0000-0000-000029200000}"/>
    <cellStyle name="Normal 9 3 4 4" xfId="1831" xr:uid="{00000000-0005-0000-0000-00002A200000}"/>
    <cellStyle name="Normal 9 3 4 4 2" xfId="4061" xr:uid="{00000000-0005-0000-0000-00002B200000}"/>
    <cellStyle name="Normal 9 3 4 4 2 2" xfId="8284" xr:uid="{00000000-0005-0000-0000-00002C200000}"/>
    <cellStyle name="Normal 9 3 4 4 3" xfId="6139" xr:uid="{00000000-0005-0000-0000-00002D200000}"/>
    <cellStyle name="Normal 9 3 4 5" xfId="2245" xr:uid="{00000000-0005-0000-0000-00002E200000}"/>
    <cellStyle name="Normal 9 3 4 5 2" xfId="4474" xr:uid="{00000000-0005-0000-0000-00002F200000}"/>
    <cellStyle name="Normal 9 3 4 5 2 2" xfId="8697" xr:uid="{00000000-0005-0000-0000-000030200000}"/>
    <cellStyle name="Normal 9 3 4 5 3" xfId="6552" xr:uid="{00000000-0005-0000-0000-000031200000}"/>
    <cellStyle name="Normal 9 3 4 6" xfId="2681" xr:uid="{00000000-0005-0000-0000-000032200000}"/>
    <cellStyle name="Normal 9 3 4 6 2" xfId="6965" xr:uid="{00000000-0005-0000-0000-000033200000}"/>
    <cellStyle name="Normal 9 3 4 7" xfId="4900" xr:uid="{00000000-0005-0000-0000-000034200000}"/>
    <cellStyle name="Normal 9 3 5" xfId="995" xr:uid="{00000000-0005-0000-0000-000035200000}"/>
    <cellStyle name="Normal 9 3 5 2" xfId="3228" xr:uid="{00000000-0005-0000-0000-000036200000}"/>
    <cellStyle name="Normal 9 3 5 2 2" xfId="7451" xr:uid="{00000000-0005-0000-0000-000037200000}"/>
    <cellStyle name="Normal 9 3 5 3" xfId="5306" xr:uid="{00000000-0005-0000-0000-000038200000}"/>
    <cellStyle name="Normal 9 3 6" xfId="1411" xr:uid="{00000000-0005-0000-0000-000039200000}"/>
    <cellStyle name="Normal 9 3 6 2" xfId="3641" xr:uid="{00000000-0005-0000-0000-00003A200000}"/>
    <cellStyle name="Normal 9 3 6 2 2" xfId="7864" xr:uid="{00000000-0005-0000-0000-00003B200000}"/>
    <cellStyle name="Normal 9 3 6 3" xfId="5719" xr:uid="{00000000-0005-0000-0000-00003C200000}"/>
    <cellStyle name="Normal 9 3 7" xfId="1824" xr:uid="{00000000-0005-0000-0000-00003D200000}"/>
    <cellStyle name="Normal 9 3 7 2" xfId="4054" xr:uid="{00000000-0005-0000-0000-00003E200000}"/>
    <cellStyle name="Normal 9 3 7 2 2" xfId="8277" xr:uid="{00000000-0005-0000-0000-00003F200000}"/>
    <cellStyle name="Normal 9 3 7 3" xfId="6132" xr:uid="{00000000-0005-0000-0000-000040200000}"/>
    <cellStyle name="Normal 9 3 8" xfId="2238" xr:uid="{00000000-0005-0000-0000-000041200000}"/>
    <cellStyle name="Normal 9 3 8 2" xfId="4467" xr:uid="{00000000-0005-0000-0000-000042200000}"/>
    <cellStyle name="Normal 9 3 8 2 2" xfId="8690" xr:uid="{00000000-0005-0000-0000-000043200000}"/>
    <cellStyle name="Normal 9 3 8 3" xfId="6545" xr:uid="{00000000-0005-0000-0000-000044200000}"/>
    <cellStyle name="Normal 9 3 9" xfId="2674" xr:uid="{00000000-0005-0000-0000-000045200000}"/>
    <cellStyle name="Normal 9 3 9 2" xfId="6958"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0" xr:uid="{00000000-0005-0000-0000-00004D200000}"/>
    <cellStyle name="Normal 9 5 2 2 3" xfId="5315" xr:uid="{00000000-0005-0000-0000-00004E200000}"/>
    <cellStyle name="Normal 9 5 2 3" xfId="1420" xr:uid="{00000000-0005-0000-0000-00004F200000}"/>
    <cellStyle name="Normal 9 5 2 3 2" xfId="3650" xr:uid="{00000000-0005-0000-0000-000050200000}"/>
    <cellStyle name="Normal 9 5 2 3 2 2" xfId="7873" xr:uid="{00000000-0005-0000-0000-000051200000}"/>
    <cellStyle name="Normal 9 5 2 3 3" xfId="5728" xr:uid="{00000000-0005-0000-0000-000052200000}"/>
    <cellStyle name="Normal 9 5 2 4" xfId="1833" xr:uid="{00000000-0005-0000-0000-000053200000}"/>
    <cellStyle name="Normal 9 5 2 4 2" xfId="4063" xr:uid="{00000000-0005-0000-0000-000054200000}"/>
    <cellStyle name="Normal 9 5 2 4 2 2" xfId="8286" xr:uid="{00000000-0005-0000-0000-000055200000}"/>
    <cellStyle name="Normal 9 5 2 4 3" xfId="6141" xr:uid="{00000000-0005-0000-0000-000056200000}"/>
    <cellStyle name="Normal 9 5 2 5" xfId="2247" xr:uid="{00000000-0005-0000-0000-000057200000}"/>
    <cellStyle name="Normal 9 5 2 5 2" xfId="4476" xr:uid="{00000000-0005-0000-0000-000058200000}"/>
    <cellStyle name="Normal 9 5 2 5 2 2" xfId="8699" xr:uid="{00000000-0005-0000-0000-000059200000}"/>
    <cellStyle name="Normal 9 5 2 5 3" xfId="6554" xr:uid="{00000000-0005-0000-0000-00005A200000}"/>
    <cellStyle name="Normal 9 5 2 6" xfId="2683" xr:uid="{00000000-0005-0000-0000-00005B200000}"/>
    <cellStyle name="Normal 9 5 2 6 2" xfId="6967" xr:uid="{00000000-0005-0000-0000-00005C200000}"/>
    <cellStyle name="Normal 9 5 2 7" xfId="4902" xr:uid="{00000000-0005-0000-0000-00005D200000}"/>
    <cellStyle name="Normal 9 5 3" xfId="1004" xr:uid="{00000000-0005-0000-0000-00005E200000}"/>
    <cellStyle name="Normal 9 5 3 2" xfId="3236" xr:uid="{00000000-0005-0000-0000-00005F200000}"/>
    <cellStyle name="Normal 9 5 3 2 2" xfId="7459" xr:uid="{00000000-0005-0000-0000-000060200000}"/>
    <cellStyle name="Normal 9 5 3 3" xfId="5314" xr:uid="{00000000-0005-0000-0000-000061200000}"/>
    <cellStyle name="Normal 9 5 4" xfId="1419" xr:uid="{00000000-0005-0000-0000-000062200000}"/>
    <cellStyle name="Normal 9 5 4 2" xfId="3649" xr:uid="{00000000-0005-0000-0000-000063200000}"/>
    <cellStyle name="Normal 9 5 4 2 2" xfId="7872" xr:uid="{00000000-0005-0000-0000-000064200000}"/>
    <cellStyle name="Normal 9 5 4 3" xfId="5727" xr:uid="{00000000-0005-0000-0000-000065200000}"/>
    <cellStyle name="Normal 9 5 5" xfId="1832" xr:uid="{00000000-0005-0000-0000-000066200000}"/>
    <cellStyle name="Normal 9 5 5 2" xfId="4062" xr:uid="{00000000-0005-0000-0000-000067200000}"/>
    <cellStyle name="Normal 9 5 5 2 2" xfId="8285" xr:uid="{00000000-0005-0000-0000-000068200000}"/>
    <cellStyle name="Normal 9 5 5 3" xfId="6140" xr:uid="{00000000-0005-0000-0000-000069200000}"/>
    <cellStyle name="Normal 9 5 6" xfId="2246" xr:uid="{00000000-0005-0000-0000-00006A200000}"/>
    <cellStyle name="Normal 9 5 6 2" xfId="4475" xr:uid="{00000000-0005-0000-0000-00006B200000}"/>
    <cellStyle name="Normal 9 5 6 2 2" xfId="8698" xr:uid="{00000000-0005-0000-0000-00006C200000}"/>
    <cellStyle name="Normal 9 5 6 3" xfId="6553" xr:uid="{00000000-0005-0000-0000-00006D200000}"/>
    <cellStyle name="Normal 9 5 7" xfId="2682" xr:uid="{00000000-0005-0000-0000-00006E200000}"/>
    <cellStyle name="Normal 9 5 7 2" xfId="6966" xr:uid="{00000000-0005-0000-0000-00006F200000}"/>
    <cellStyle name="Normal 9 5 8" xfId="4901"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1" xr:uid="{00000000-0005-0000-0000-000074200000}"/>
    <cellStyle name="Normal 9 6 2 3" xfId="5316" xr:uid="{00000000-0005-0000-0000-000075200000}"/>
    <cellStyle name="Normal 9 6 3" xfId="1421" xr:uid="{00000000-0005-0000-0000-000076200000}"/>
    <cellStyle name="Normal 9 6 3 2" xfId="3651" xr:uid="{00000000-0005-0000-0000-000077200000}"/>
    <cellStyle name="Normal 9 6 3 2 2" xfId="7874" xr:uid="{00000000-0005-0000-0000-000078200000}"/>
    <cellStyle name="Normal 9 6 3 3" xfId="5729" xr:uid="{00000000-0005-0000-0000-000079200000}"/>
    <cellStyle name="Normal 9 6 4" xfId="1834" xr:uid="{00000000-0005-0000-0000-00007A200000}"/>
    <cellStyle name="Normal 9 6 4 2" xfId="4064" xr:uid="{00000000-0005-0000-0000-00007B200000}"/>
    <cellStyle name="Normal 9 6 4 2 2" xfId="8287" xr:uid="{00000000-0005-0000-0000-00007C200000}"/>
    <cellStyle name="Normal 9 6 4 3" xfId="6142" xr:uid="{00000000-0005-0000-0000-00007D200000}"/>
    <cellStyle name="Normal 9 6 5" xfId="2248" xr:uid="{00000000-0005-0000-0000-00007E200000}"/>
    <cellStyle name="Normal 9 6 5 2" xfId="4477" xr:uid="{00000000-0005-0000-0000-00007F200000}"/>
    <cellStyle name="Normal 9 6 5 2 2" xfId="8700" xr:uid="{00000000-0005-0000-0000-000080200000}"/>
    <cellStyle name="Normal 9 6 5 3" xfId="6555" xr:uid="{00000000-0005-0000-0000-000081200000}"/>
    <cellStyle name="Normal 9 6 6" xfId="2684" xr:uid="{00000000-0005-0000-0000-000082200000}"/>
    <cellStyle name="Normal 9 6 6 2" xfId="6968" xr:uid="{00000000-0005-0000-0000-000083200000}"/>
    <cellStyle name="Normal 9 6 7" xfId="4903"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49" xr:uid="{00000000-0005-0000-0000-000092200000}"/>
    <cellStyle name="Note 2 2 11" xfId="4904" xr:uid="{00000000-0005-0000-0000-000093200000}"/>
    <cellStyle name="Note 2 2 2" xfId="547" xr:uid="{00000000-0005-0000-0000-000094200000}"/>
    <cellStyle name="Note 2 2 2 10" xfId="4905"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4" xr:uid="{00000000-0005-0000-0000-000099200000}"/>
    <cellStyle name="Note 2 2 2 2 2 3" xfId="5319" xr:uid="{00000000-0005-0000-0000-00009A200000}"/>
    <cellStyle name="Note 2 2 2 2 3" xfId="1424" xr:uid="{00000000-0005-0000-0000-00009B200000}"/>
    <cellStyle name="Note 2 2 2 2 3 2" xfId="3654" xr:uid="{00000000-0005-0000-0000-00009C200000}"/>
    <cellStyle name="Note 2 2 2 2 3 2 2" xfId="7877" xr:uid="{00000000-0005-0000-0000-00009D200000}"/>
    <cellStyle name="Note 2 2 2 2 3 3" xfId="5732" xr:uid="{00000000-0005-0000-0000-00009E200000}"/>
    <cellStyle name="Note 2 2 2 2 4" xfId="1838" xr:uid="{00000000-0005-0000-0000-00009F200000}"/>
    <cellStyle name="Note 2 2 2 2 4 2" xfId="4067" xr:uid="{00000000-0005-0000-0000-0000A0200000}"/>
    <cellStyle name="Note 2 2 2 2 4 2 2" xfId="8290" xr:uid="{00000000-0005-0000-0000-0000A1200000}"/>
    <cellStyle name="Note 2 2 2 2 4 3" xfId="6145" xr:uid="{00000000-0005-0000-0000-0000A2200000}"/>
    <cellStyle name="Note 2 2 2 2 5" xfId="2251" xr:uid="{00000000-0005-0000-0000-0000A3200000}"/>
    <cellStyle name="Note 2 2 2 2 5 2" xfId="4480" xr:uid="{00000000-0005-0000-0000-0000A4200000}"/>
    <cellStyle name="Note 2 2 2 2 5 2 2" xfId="8703" xr:uid="{00000000-0005-0000-0000-0000A5200000}"/>
    <cellStyle name="Note 2 2 2 2 5 3" xfId="6558" xr:uid="{00000000-0005-0000-0000-0000A6200000}"/>
    <cellStyle name="Note 2 2 2 2 6" xfId="2687" xr:uid="{00000000-0005-0000-0000-0000A7200000}"/>
    <cellStyle name="Note 2 2 2 2 6 2" xfId="6971" xr:uid="{00000000-0005-0000-0000-0000A8200000}"/>
    <cellStyle name="Note 2 2 2 2 7" xfId="2746" xr:uid="{00000000-0005-0000-0000-0000A9200000}"/>
    <cellStyle name="Note 2 2 2 2 8" xfId="2827" xr:uid="{00000000-0005-0000-0000-0000AA200000}"/>
    <cellStyle name="Note 2 2 2 2 8 2" xfId="7051" xr:uid="{00000000-0005-0000-0000-0000AB200000}"/>
    <cellStyle name="Note 2 2 2 2 9" xfId="4906" xr:uid="{00000000-0005-0000-0000-0000AC200000}"/>
    <cellStyle name="Note 2 2 2 3" xfId="1008" xr:uid="{00000000-0005-0000-0000-0000AD200000}"/>
    <cellStyle name="Note 2 2 2 3 2" xfId="3240" xr:uid="{00000000-0005-0000-0000-0000AE200000}"/>
    <cellStyle name="Note 2 2 2 3 2 2" xfId="7463" xr:uid="{00000000-0005-0000-0000-0000AF200000}"/>
    <cellStyle name="Note 2 2 2 3 3" xfId="5318" xr:uid="{00000000-0005-0000-0000-0000B0200000}"/>
    <cellStyle name="Note 2 2 2 4" xfId="1423" xr:uid="{00000000-0005-0000-0000-0000B1200000}"/>
    <cellStyle name="Note 2 2 2 4 2" xfId="3653" xr:uid="{00000000-0005-0000-0000-0000B2200000}"/>
    <cellStyle name="Note 2 2 2 4 2 2" xfId="7876" xr:uid="{00000000-0005-0000-0000-0000B3200000}"/>
    <cellStyle name="Note 2 2 2 4 3" xfId="5731" xr:uid="{00000000-0005-0000-0000-0000B4200000}"/>
    <cellStyle name="Note 2 2 2 5" xfId="1837" xr:uid="{00000000-0005-0000-0000-0000B5200000}"/>
    <cellStyle name="Note 2 2 2 5 2" xfId="4066" xr:uid="{00000000-0005-0000-0000-0000B6200000}"/>
    <cellStyle name="Note 2 2 2 5 2 2" xfId="8289" xr:uid="{00000000-0005-0000-0000-0000B7200000}"/>
    <cellStyle name="Note 2 2 2 5 3" xfId="6144" xr:uid="{00000000-0005-0000-0000-0000B8200000}"/>
    <cellStyle name="Note 2 2 2 6" xfId="2250" xr:uid="{00000000-0005-0000-0000-0000B9200000}"/>
    <cellStyle name="Note 2 2 2 6 2" xfId="4479" xr:uid="{00000000-0005-0000-0000-0000BA200000}"/>
    <cellStyle name="Note 2 2 2 6 2 2" xfId="8702" xr:uid="{00000000-0005-0000-0000-0000BB200000}"/>
    <cellStyle name="Note 2 2 2 6 3" xfId="6557" xr:uid="{00000000-0005-0000-0000-0000BC200000}"/>
    <cellStyle name="Note 2 2 2 7" xfId="2686" xr:uid="{00000000-0005-0000-0000-0000BD200000}"/>
    <cellStyle name="Note 2 2 2 7 2" xfId="6970" xr:uid="{00000000-0005-0000-0000-0000BE200000}"/>
    <cellStyle name="Note 2 2 2 8" xfId="2745" xr:uid="{00000000-0005-0000-0000-0000BF200000}"/>
    <cellStyle name="Note 2 2 2 9" xfId="2826" xr:uid="{00000000-0005-0000-0000-0000C0200000}"/>
    <cellStyle name="Note 2 2 2 9 2" xfId="7050"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5" xr:uid="{00000000-0005-0000-0000-0000C5200000}"/>
    <cellStyle name="Note 2 2 3 2 3" xfId="5320" xr:uid="{00000000-0005-0000-0000-0000C6200000}"/>
    <cellStyle name="Note 2 2 3 3" xfId="1425" xr:uid="{00000000-0005-0000-0000-0000C7200000}"/>
    <cellStyle name="Note 2 2 3 3 2" xfId="3655" xr:uid="{00000000-0005-0000-0000-0000C8200000}"/>
    <cellStyle name="Note 2 2 3 3 2 2" xfId="7878" xr:uid="{00000000-0005-0000-0000-0000C9200000}"/>
    <cellStyle name="Note 2 2 3 3 3" xfId="5733" xr:uid="{00000000-0005-0000-0000-0000CA200000}"/>
    <cellStyle name="Note 2 2 3 4" xfId="1839" xr:uid="{00000000-0005-0000-0000-0000CB200000}"/>
    <cellStyle name="Note 2 2 3 4 2" xfId="4068" xr:uid="{00000000-0005-0000-0000-0000CC200000}"/>
    <cellStyle name="Note 2 2 3 4 2 2" xfId="8291" xr:uid="{00000000-0005-0000-0000-0000CD200000}"/>
    <cellStyle name="Note 2 2 3 4 3" xfId="6146" xr:uid="{00000000-0005-0000-0000-0000CE200000}"/>
    <cellStyle name="Note 2 2 3 5" xfId="2252" xr:uid="{00000000-0005-0000-0000-0000CF200000}"/>
    <cellStyle name="Note 2 2 3 5 2" xfId="4481" xr:uid="{00000000-0005-0000-0000-0000D0200000}"/>
    <cellStyle name="Note 2 2 3 5 2 2" xfId="8704" xr:uid="{00000000-0005-0000-0000-0000D1200000}"/>
    <cellStyle name="Note 2 2 3 5 3" xfId="6559" xr:uid="{00000000-0005-0000-0000-0000D2200000}"/>
    <cellStyle name="Note 2 2 3 6" xfId="2688" xr:uid="{00000000-0005-0000-0000-0000D3200000}"/>
    <cellStyle name="Note 2 2 3 6 2" xfId="6972" xr:uid="{00000000-0005-0000-0000-0000D4200000}"/>
    <cellStyle name="Note 2 2 3 7" xfId="2747" xr:uid="{00000000-0005-0000-0000-0000D5200000}"/>
    <cellStyle name="Note 2 2 3 8" xfId="2828" xr:uid="{00000000-0005-0000-0000-0000D6200000}"/>
    <cellStyle name="Note 2 2 3 8 2" xfId="7052" xr:uid="{00000000-0005-0000-0000-0000D7200000}"/>
    <cellStyle name="Note 2 2 3 9" xfId="4907" xr:uid="{00000000-0005-0000-0000-0000D8200000}"/>
    <cellStyle name="Note 2 2 4" xfId="1007" xr:uid="{00000000-0005-0000-0000-0000D9200000}"/>
    <cellStyle name="Note 2 2 4 2" xfId="3239" xr:uid="{00000000-0005-0000-0000-0000DA200000}"/>
    <cellStyle name="Note 2 2 4 2 2" xfId="7462" xr:uid="{00000000-0005-0000-0000-0000DB200000}"/>
    <cellStyle name="Note 2 2 4 3" xfId="5317" xr:uid="{00000000-0005-0000-0000-0000DC200000}"/>
    <cellStyle name="Note 2 2 5" xfId="1422" xr:uid="{00000000-0005-0000-0000-0000DD200000}"/>
    <cellStyle name="Note 2 2 5 2" xfId="3652" xr:uid="{00000000-0005-0000-0000-0000DE200000}"/>
    <cellStyle name="Note 2 2 5 2 2" xfId="7875" xr:uid="{00000000-0005-0000-0000-0000DF200000}"/>
    <cellStyle name="Note 2 2 5 3" xfId="5730" xr:uid="{00000000-0005-0000-0000-0000E0200000}"/>
    <cellStyle name="Note 2 2 6" xfId="1836" xr:uid="{00000000-0005-0000-0000-0000E1200000}"/>
    <cellStyle name="Note 2 2 6 2" xfId="4065" xr:uid="{00000000-0005-0000-0000-0000E2200000}"/>
    <cellStyle name="Note 2 2 6 2 2" xfId="8288" xr:uid="{00000000-0005-0000-0000-0000E3200000}"/>
    <cellStyle name="Note 2 2 6 3" xfId="6143" xr:uid="{00000000-0005-0000-0000-0000E4200000}"/>
    <cellStyle name="Note 2 2 7" xfId="2249" xr:uid="{00000000-0005-0000-0000-0000E5200000}"/>
    <cellStyle name="Note 2 2 7 2" xfId="4478" xr:uid="{00000000-0005-0000-0000-0000E6200000}"/>
    <cellStyle name="Note 2 2 7 2 2" xfId="8701" xr:uid="{00000000-0005-0000-0000-0000E7200000}"/>
    <cellStyle name="Note 2 2 7 3" xfId="6556" xr:uid="{00000000-0005-0000-0000-0000E8200000}"/>
    <cellStyle name="Note 2 2 8" xfId="2685" xr:uid="{00000000-0005-0000-0000-0000E9200000}"/>
    <cellStyle name="Note 2 2 8 2" xfId="6969" xr:uid="{00000000-0005-0000-0000-0000EA200000}"/>
    <cellStyle name="Note 2 2 9" xfId="2744" xr:uid="{00000000-0005-0000-0000-0000EB200000}"/>
    <cellStyle name="Note 2 3" xfId="550" xr:uid="{00000000-0005-0000-0000-0000EC200000}"/>
    <cellStyle name="Note 2 3 10" xfId="4908"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7" xr:uid="{00000000-0005-0000-0000-0000F1200000}"/>
    <cellStyle name="Note 2 3 2 2 3" xfId="5322" xr:uid="{00000000-0005-0000-0000-0000F2200000}"/>
    <cellStyle name="Note 2 3 2 3" xfId="1427" xr:uid="{00000000-0005-0000-0000-0000F3200000}"/>
    <cellStyle name="Note 2 3 2 3 2" xfId="3657" xr:uid="{00000000-0005-0000-0000-0000F4200000}"/>
    <cellStyle name="Note 2 3 2 3 2 2" xfId="7880" xr:uid="{00000000-0005-0000-0000-0000F5200000}"/>
    <cellStyle name="Note 2 3 2 3 3" xfId="5735" xr:uid="{00000000-0005-0000-0000-0000F6200000}"/>
    <cellStyle name="Note 2 3 2 4" xfId="1841" xr:uid="{00000000-0005-0000-0000-0000F7200000}"/>
    <cellStyle name="Note 2 3 2 4 2" xfId="4070" xr:uid="{00000000-0005-0000-0000-0000F8200000}"/>
    <cellStyle name="Note 2 3 2 4 2 2" xfId="8293" xr:uid="{00000000-0005-0000-0000-0000F9200000}"/>
    <cellStyle name="Note 2 3 2 4 3" xfId="6148" xr:uid="{00000000-0005-0000-0000-0000FA200000}"/>
    <cellStyle name="Note 2 3 2 5" xfId="2254" xr:uid="{00000000-0005-0000-0000-0000FB200000}"/>
    <cellStyle name="Note 2 3 2 5 2" xfId="4483" xr:uid="{00000000-0005-0000-0000-0000FC200000}"/>
    <cellStyle name="Note 2 3 2 5 2 2" xfId="8706" xr:uid="{00000000-0005-0000-0000-0000FD200000}"/>
    <cellStyle name="Note 2 3 2 5 3" xfId="6561" xr:uid="{00000000-0005-0000-0000-0000FE200000}"/>
    <cellStyle name="Note 2 3 2 6" xfId="2690" xr:uid="{00000000-0005-0000-0000-0000FF200000}"/>
    <cellStyle name="Note 2 3 2 6 2" xfId="6974" xr:uid="{00000000-0005-0000-0000-000000210000}"/>
    <cellStyle name="Note 2 3 2 7" xfId="2749" xr:uid="{00000000-0005-0000-0000-000001210000}"/>
    <cellStyle name="Note 2 3 2 8" xfId="2830" xr:uid="{00000000-0005-0000-0000-000002210000}"/>
    <cellStyle name="Note 2 3 2 8 2" xfId="7054" xr:uid="{00000000-0005-0000-0000-000003210000}"/>
    <cellStyle name="Note 2 3 2 9" xfId="4909" xr:uid="{00000000-0005-0000-0000-000004210000}"/>
    <cellStyle name="Note 2 3 3" xfId="1011" xr:uid="{00000000-0005-0000-0000-000005210000}"/>
    <cellStyle name="Note 2 3 3 2" xfId="3243" xr:uid="{00000000-0005-0000-0000-000006210000}"/>
    <cellStyle name="Note 2 3 3 2 2" xfId="7466" xr:uid="{00000000-0005-0000-0000-000007210000}"/>
    <cellStyle name="Note 2 3 3 3" xfId="5321" xr:uid="{00000000-0005-0000-0000-000008210000}"/>
    <cellStyle name="Note 2 3 4" xfId="1426" xr:uid="{00000000-0005-0000-0000-000009210000}"/>
    <cellStyle name="Note 2 3 4 2" xfId="3656" xr:uid="{00000000-0005-0000-0000-00000A210000}"/>
    <cellStyle name="Note 2 3 4 2 2" xfId="7879" xr:uid="{00000000-0005-0000-0000-00000B210000}"/>
    <cellStyle name="Note 2 3 4 3" xfId="5734" xr:uid="{00000000-0005-0000-0000-00000C210000}"/>
    <cellStyle name="Note 2 3 5" xfId="1840" xr:uid="{00000000-0005-0000-0000-00000D210000}"/>
    <cellStyle name="Note 2 3 5 2" xfId="4069" xr:uid="{00000000-0005-0000-0000-00000E210000}"/>
    <cellStyle name="Note 2 3 5 2 2" xfId="8292" xr:uid="{00000000-0005-0000-0000-00000F210000}"/>
    <cellStyle name="Note 2 3 5 3" xfId="6147" xr:uid="{00000000-0005-0000-0000-000010210000}"/>
    <cellStyle name="Note 2 3 6" xfId="2253" xr:uid="{00000000-0005-0000-0000-000011210000}"/>
    <cellStyle name="Note 2 3 6 2" xfId="4482" xr:uid="{00000000-0005-0000-0000-000012210000}"/>
    <cellStyle name="Note 2 3 6 2 2" xfId="8705" xr:uid="{00000000-0005-0000-0000-000013210000}"/>
    <cellStyle name="Note 2 3 6 3" xfId="6560" xr:uid="{00000000-0005-0000-0000-000014210000}"/>
    <cellStyle name="Note 2 3 7" xfId="2689" xr:uid="{00000000-0005-0000-0000-000015210000}"/>
    <cellStyle name="Note 2 3 7 2" xfId="6973" xr:uid="{00000000-0005-0000-0000-000016210000}"/>
    <cellStyle name="Note 2 3 8" xfId="2748" xr:uid="{00000000-0005-0000-0000-000017210000}"/>
    <cellStyle name="Note 2 3 9" xfId="2829" xr:uid="{00000000-0005-0000-0000-000018210000}"/>
    <cellStyle name="Note 2 3 9 2" xfId="7053"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8" xr:uid="{00000000-0005-0000-0000-00001D210000}"/>
    <cellStyle name="Note 2 4 2 3" xfId="5323" xr:uid="{00000000-0005-0000-0000-00001E210000}"/>
    <cellStyle name="Note 2 4 3" xfId="1428" xr:uid="{00000000-0005-0000-0000-00001F210000}"/>
    <cellStyle name="Note 2 4 3 2" xfId="3658" xr:uid="{00000000-0005-0000-0000-000020210000}"/>
    <cellStyle name="Note 2 4 3 2 2" xfId="7881" xr:uid="{00000000-0005-0000-0000-000021210000}"/>
    <cellStyle name="Note 2 4 3 3" xfId="5736" xr:uid="{00000000-0005-0000-0000-000022210000}"/>
    <cellStyle name="Note 2 4 4" xfId="1842" xr:uid="{00000000-0005-0000-0000-000023210000}"/>
    <cellStyle name="Note 2 4 4 2" xfId="4071" xr:uid="{00000000-0005-0000-0000-000024210000}"/>
    <cellStyle name="Note 2 4 4 2 2" xfId="8294" xr:uid="{00000000-0005-0000-0000-000025210000}"/>
    <cellStyle name="Note 2 4 4 3" xfId="6149" xr:uid="{00000000-0005-0000-0000-000026210000}"/>
    <cellStyle name="Note 2 4 5" xfId="2255" xr:uid="{00000000-0005-0000-0000-000027210000}"/>
    <cellStyle name="Note 2 4 5 2" xfId="4484" xr:uid="{00000000-0005-0000-0000-000028210000}"/>
    <cellStyle name="Note 2 4 5 2 2" xfId="8707" xr:uid="{00000000-0005-0000-0000-000029210000}"/>
    <cellStyle name="Note 2 4 5 3" xfId="6562" xr:uid="{00000000-0005-0000-0000-00002A210000}"/>
    <cellStyle name="Note 2 4 6" xfId="2691" xr:uid="{00000000-0005-0000-0000-00002B210000}"/>
    <cellStyle name="Note 2 4 6 2" xfId="6975" xr:uid="{00000000-0005-0000-0000-00002C210000}"/>
    <cellStyle name="Note 2 4 7" xfId="2750" xr:uid="{00000000-0005-0000-0000-00002D210000}"/>
    <cellStyle name="Note 2 4 8" xfId="2831" xr:uid="{00000000-0005-0000-0000-00002E210000}"/>
    <cellStyle name="Note 2 4 8 2" xfId="7055" xr:uid="{00000000-0005-0000-0000-00002F210000}"/>
    <cellStyle name="Note 2 4 9" xfId="4910"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69" xr:uid="{00000000-0005-0000-0000-000034210000}"/>
    <cellStyle name="Note 2 5 2 3" xfId="5324" xr:uid="{00000000-0005-0000-0000-000035210000}"/>
    <cellStyle name="Note 2 5 3" xfId="1429" xr:uid="{00000000-0005-0000-0000-000036210000}"/>
    <cellStyle name="Note 2 5 3 2" xfId="3659" xr:uid="{00000000-0005-0000-0000-000037210000}"/>
    <cellStyle name="Note 2 5 3 2 2" xfId="7882" xr:uid="{00000000-0005-0000-0000-000038210000}"/>
    <cellStyle name="Note 2 5 3 3" xfId="5737" xr:uid="{00000000-0005-0000-0000-000039210000}"/>
    <cellStyle name="Note 2 5 4" xfId="1843" xr:uid="{00000000-0005-0000-0000-00003A210000}"/>
    <cellStyle name="Note 2 5 4 2" xfId="4072" xr:uid="{00000000-0005-0000-0000-00003B210000}"/>
    <cellStyle name="Note 2 5 4 2 2" xfId="8295" xr:uid="{00000000-0005-0000-0000-00003C210000}"/>
    <cellStyle name="Note 2 5 4 3" xfId="6150" xr:uid="{00000000-0005-0000-0000-00003D210000}"/>
    <cellStyle name="Note 2 5 5" xfId="2256" xr:uid="{00000000-0005-0000-0000-00003E210000}"/>
    <cellStyle name="Note 2 5 5 2" xfId="4485" xr:uid="{00000000-0005-0000-0000-00003F210000}"/>
    <cellStyle name="Note 2 5 5 2 2" xfId="8708" xr:uid="{00000000-0005-0000-0000-000040210000}"/>
    <cellStyle name="Note 2 5 5 3" xfId="6563" xr:uid="{00000000-0005-0000-0000-000041210000}"/>
    <cellStyle name="Note 2 5 6" xfId="2692" xr:uid="{00000000-0005-0000-0000-000042210000}"/>
    <cellStyle name="Note 2 5 6 2" xfId="6976" xr:uid="{00000000-0005-0000-0000-000043210000}"/>
    <cellStyle name="Note 2 5 7" xfId="2751" xr:uid="{00000000-0005-0000-0000-000044210000}"/>
    <cellStyle name="Note 2 5 8" xfId="2832" xr:uid="{00000000-0005-0000-0000-000045210000}"/>
    <cellStyle name="Note 2 5 8 2" xfId="7056" xr:uid="{00000000-0005-0000-0000-000046210000}"/>
    <cellStyle name="Note 2 5 9" xfId="4911"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7" xr:uid="{00000000-0005-0000-0000-00004B210000}"/>
    <cellStyle name="Note 3 2 11" xfId="4912" xr:uid="{00000000-0005-0000-0000-00004C210000}"/>
    <cellStyle name="Note 3 2 2" xfId="556" xr:uid="{00000000-0005-0000-0000-00004D210000}"/>
    <cellStyle name="Note 3 2 2 10" xfId="4913"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2" xr:uid="{00000000-0005-0000-0000-000052210000}"/>
    <cellStyle name="Note 3 2 2 2 2 3" xfId="5327" xr:uid="{00000000-0005-0000-0000-000053210000}"/>
    <cellStyle name="Note 3 2 2 2 3" xfId="1432" xr:uid="{00000000-0005-0000-0000-000054210000}"/>
    <cellStyle name="Note 3 2 2 2 3 2" xfId="3662" xr:uid="{00000000-0005-0000-0000-000055210000}"/>
    <cellStyle name="Note 3 2 2 2 3 2 2" xfId="7885" xr:uid="{00000000-0005-0000-0000-000056210000}"/>
    <cellStyle name="Note 3 2 2 2 3 3" xfId="5740" xr:uid="{00000000-0005-0000-0000-000057210000}"/>
    <cellStyle name="Note 3 2 2 2 4" xfId="1846" xr:uid="{00000000-0005-0000-0000-000058210000}"/>
    <cellStyle name="Note 3 2 2 2 4 2" xfId="4075" xr:uid="{00000000-0005-0000-0000-000059210000}"/>
    <cellStyle name="Note 3 2 2 2 4 2 2" xfId="8298" xr:uid="{00000000-0005-0000-0000-00005A210000}"/>
    <cellStyle name="Note 3 2 2 2 4 3" xfId="6153" xr:uid="{00000000-0005-0000-0000-00005B210000}"/>
    <cellStyle name="Note 3 2 2 2 5" xfId="2259" xr:uid="{00000000-0005-0000-0000-00005C210000}"/>
    <cellStyle name="Note 3 2 2 2 5 2" xfId="4488" xr:uid="{00000000-0005-0000-0000-00005D210000}"/>
    <cellStyle name="Note 3 2 2 2 5 2 2" xfId="8711" xr:uid="{00000000-0005-0000-0000-00005E210000}"/>
    <cellStyle name="Note 3 2 2 2 5 3" xfId="6566" xr:uid="{00000000-0005-0000-0000-00005F210000}"/>
    <cellStyle name="Note 3 2 2 2 6" xfId="2695" xr:uid="{00000000-0005-0000-0000-000060210000}"/>
    <cellStyle name="Note 3 2 2 2 6 2" xfId="6979" xr:uid="{00000000-0005-0000-0000-000061210000}"/>
    <cellStyle name="Note 3 2 2 2 7" xfId="2754" xr:uid="{00000000-0005-0000-0000-000062210000}"/>
    <cellStyle name="Note 3 2 2 2 8" xfId="2835" xr:uid="{00000000-0005-0000-0000-000063210000}"/>
    <cellStyle name="Note 3 2 2 2 8 2" xfId="7059" xr:uid="{00000000-0005-0000-0000-000064210000}"/>
    <cellStyle name="Note 3 2 2 2 9" xfId="4914" xr:uid="{00000000-0005-0000-0000-000065210000}"/>
    <cellStyle name="Note 3 2 2 3" xfId="1016" xr:uid="{00000000-0005-0000-0000-000066210000}"/>
    <cellStyle name="Note 3 2 2 3 2" xfId="3248" xr:uid="{00000000-0005-0000-0000-000067210000}"/>
    <cellStyle name="Note 3 2 2 3 2 2" xfId="7471" xr:uid="{00000000-0005-0000-0000-000068210000}"/>
    <cellStyle name="Note 3 2 2 3 3" xfId="5326" xr:uid="{00000000-0005-0000-0000-000069210000}"/>
    <cellStyle name="Note 3 2 2 4" xfId="1431" xr:uid="{00000000-0005-0000-0000-00006A210000}"/>
    <cellStyle name="Note 3 2 2 4 2" xfId="3661" xr:uid="{00000000-0005-0000-0000-00006B210000}"/>
    <cellStyle name="Note 3 2 2 4 2 2" xfId="7884" xr:uid="{00000000-0005-0000-0000-00006C210000}"/>
    <cellStyle name="Note 3 2 2 4 3" xfId="5739" xr:uid="{00000000-0005-0000-0000-00006D210000}"/>
    <cellStyle name="Note 3 2 2 5" xfId="1845" xr:uid="{00000000-0005-0000-0000-00006E210000}"/>
    <cellStyle name="Note 3 2 2 5 2" xfId="4074" xr:uid="{00000000-0005-0000-0000-00006F210000}"/>
    <cellStyle name="Note 3 2 2 5 2 2" xfId="8297" xr:uid="{00000000-0005-0000-0000-000070210000}"/>
    <cellStyle name="Note 3 2 2 5 3" xfId="6152" xr:uid="{00000000-0005-0000-0000-000071210000}"/>
    <cellStyle name="Note 3 2 2 6" xfId="2258" xr:uid="{00000000-0005-0000-0000-000072210000}"/>
    <cellStyle name="Note 3 2 2 6 2" xfId="4487" xr:uid="{00000000-0005-0000-0000-000073210000}"/>
    <cellStyle name="Note 3 2 2 6 2 2" xfId="8710" xr:uid="{00000000-0005-0000-0000-000074210000}"/>
    <cellStyle name="Note 3 2 2 6 3" xfId="6565" xr:uid="{00000000-0005-0000-0000-000075210000}"/>
    <cellStyle name="Note 3 2 2 7" xfId="2694" xr:uid="{00000000-0005-0000-0000-000076210000}"/>
    <cellStyle name="Note 3 2 2 7 2" xfId="6978" xr:uid="{00000000-0005-0000-0000-000077210000}"/>
    <cellStyle name="Note 3 2 2 8" xfId="2753" xr:uid="{00000000-0005-0000-0000-000078210000}"/>
    <cellStyle name="Note 3 2 2 9" xfId="2834" xr:uid="{00000000-0005-0000-0000-000079210000}"/>
    <cellStyle name="Note 3 2 2 9 2" xfId="7058"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3" xr:uid="{00000000-0005-0000-0000-00007E210000}"/>
    <cellStyle name="Note 3 2 3 2 3" xfId="5328" xr:uid="{00000000-0005-0000-0000-00007F210000}"/>
    <cellStyle name="Note 3 2 3 3" xfId="1433" xr:uid="{00000000-0005-0000-0000-000080210000}"/>
    <cellStyle name="Note 3 2 3 3 2" xfId="3663" xr:uid="{00000000-0005-0000-0000-000081210000}"/>
    <cellStyle name="Note 3 2 3 3 2 2" xfId="7886" xr:uid="{00000000-0005-0000-0000-000082210000}"/>
    <cellStyle name="Note 3 2 3 3 3" xfId="5741" xr:uid="{00000000-0005-0000-0000-000083210000}"/>
    <cellStyle name="Note 3 2 3 4" xfId="1847" xr:uid="{00000000-0005-0000-0000-000084210000}"/>
    <cellStyle name="Note 3 2 3 4 2" xfId="4076" xr:uid="{00000000-0005-0000-0000-000085210000}"/>
    <cellStyle name="Note 3 2 3 4 2 2" xfId="8299" xr:uid="{00000000-0005-0000-0000-000086210000}"/>
    <cellStyle name="Note 3 2 3 4 3" xfId="6154" xr:uid="{00000000-0005-0000-0000-000087210000}"/>
    <cellStyle name="Note 3 2 3 5" xfId="2260" xr:uid="{00000000-0005-0000-0000-000088210000}"/>
    <cellStyle name="Note 3 2 3 5 2" xfId="4489" xr:uid="{00000000-0005-0000-0000-000089210000}"/>
    <cellStyle name="Note 3 2 3 5 2 2" xfId="8712" xr:uid="{00000000-0005-0000-0000-00008A210000}"/>
    <cellStyle name="Note 3 2 3 5 3" xfId="6567" xr:uid="{00000000-0005-0000-0000-00008B210000}"/>
    <cellStyle name="Note 3 2 3 6" xfId="2696" xr:uid="{00000000-0005-0000-0000-00008C210000}"/>
    <cellStyle name="Note 3 2 3 6 2" xfId="6980" xr:uid="{00000000-0005-0000-0000-00008D210000}"/>
    <cellStyle name="Note 3 2 3 7" xfId="2755" xr:uid="{00000000-0005-0000-0000-00008E210000}"/>
    <cellStyle name="Note 3 2 3 8" xfId="2836" xr:uid="{00000000-0005-0000-0000-00008F210000}"/>
    <cellStyle name="Note 3 2 3 8 2" xfId="7060" xr:uid="{00000000-0005-0000-0000-000090210000}"/>
    <cellStyle name="Note 3 2 3 9" xfId="4915" xr:uid="{00000000-0005-0000-0000-000091210000}"/>
    <cellStyle name="Note 3 2 4" xfId="1015" xr:uid="{00000000-0005-0000-0000-000092210000}"/>
    <cellStyle name="Note 3 2 4 2" xfId="3247" xr:uid="{00000000-0005-0000-0000-000093210000}"/>
    <cellStyle name="Note 3 2 4 2 2" xfId="7470" xr:uid="{00000000-0005-0000-0000-000094210000}"/>
    <cellStyle name="Note 3 2 4 3" xfId="5325" xr:uid="{00000000-0005-0000-0000-000095210000}"/>
    <cellStyle name="Note 3 2 5" xfId="1430" xr:uid="{00000000-0005-0000-0000-000096210000}"/>
    <cellStyle name="Note 3 2 5 2" xfId="3660" xr:uid="{00000000-0005-0000-0000-000097210000}"/>
    <cellStyle name="Note 3 2 5 2 2" xfId="7883" xr:uid="{00000000-0005-0000-0000-000098210000}"/>
    <cellStyle name="Note 3 2 5 3" xfId="5738" xr:uid="{00000000-0005-0000-0000-000099210000}"/>
    <cellStyle name="Note 3 2 6" xfId="1844" xr:uid="{00000000-0005-0000-0000-00009A210000}"/>
    <cellStyle name="Note 3 2 6 2" xfId="4073" xr:uid="{00000000-0005-0000-0000-00009B210000}"/>
    <cellStyle name="Note 3 2 6 2 2" xfId="8296" xr:uid="{00000000-0005-0000-0000-00009C210000}"/>
    <cellStyle name="Note 3 2 6 3" xfId="6151" xr:uid="{00000000-0005-0000-0000-00009D210000}"/>
    <cellStyle name="Note 3 2 7" xfId="2257" xr:uid="{00000000-0005-0000-0000-00009E210000}"/>
    <cellStyle name="Note 3 2 7 2" xfId="4486" xr:uid="{00000000-0005-0000-0000-00009F210000}"/>
    <cellStyle name="Note 3 2 7 2 2" xfId="8709" xr:uid="{00000000-0005-0000-0000-0000A0210000}"/>
    <cellStyle name="Note 3 2 7 3" xfId="6564" xr:uid="{00000000-0005-0000-0000-0000A1210000}"/>
    <cellStyle name="Note 3 2 8" xfId="2693" xr:uid="{00000000-0005-0000-0000-0000A2210000}"/>
    <cellStyle name="Note 3 2 8 2" xfId="6977" xr:uid="{00000000-0005-0000-0000-0000A3210000}"/>
    <cellStyle name="Note 3 2 9" xfId="2752" xr:uid="{00000000-0005-0000-0000-0000A4210000}"/>
    <cellStyle name="Note 3 3" xfId="559" xr:uid="{00000000-0005-0000-0000-0000A5210000}"/>
    <cellStyle name="Note 3 3 10" xfId="4916"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5" xr:uid="{00000000-0005-0000-0000-0000AA210000}"/>
    <cellStyle name="Note 3 3 2 2 3" xfId="5330" xr:uid="{00000000-0005-0000-0000-0000AB210000}"/>
    <cellStyle name="Note 3 3 2 3" xfId="1435" xr:uid="{00000000-0005-0000-0000-0000AC210000}"/>
    <cellStyle name="Note 3 3 2 3 2" xfId="3665" xr:uid="{00000000-0005-0000-0000-0000AD210000}"/>
    <cellStyle name="Note 3 3 2 3 2 2" xfId="7888" xr:uid="{00000000-0005-0000-0000-0000AE210000}"/>
    <cellStyle name="Note 3 3 2 3 3" xfId="5743" xr:uid="{00000000-0005-0000-0000-0000AF210000}"/>
    <cellStyle name="Note 3 3 2 4" xfId="1849" xr:uid="{00000000-0005-0000-0000-0000B0210000}"/>
    <cellStyle name="Note 3 3 2 4 2" xfId="4078" xr:uid="{00000000-0005-0000-0000-0000B1210000}"/>
    <cellStyle name="Note 3 3 2 4 2 2" xfId="8301" xr:uid="{00000000-0005-0000-0000-0000B2210000}"/>
    <cellStyle name="Note 3 3 2 4 3" xfId="6156" xr:uid="{00000000-0005-0000-0000-0000B3210000}"/>
    <cellStyle name="Note 3 3 2 5" xfId="2262" xr:uid="{00000000-0005-0000-0000-0000B4210000}"/>
    <cellStyle name="Note 3 3 2 5 2" xfId="4491" xr:uid="{00000000-0005-0000-0000-0000B5210000}"/>
    <cellStyle name="Note 3 3 2 5 2 2" xfId="8714" xr:uid="{00000000-0005-0000-0000-0000B6210000}"/>
    <cellStyle name="Note 3 3 2 5 3" xfId="6569" xr:uid="{00000000-0005-0000-0000-0000B7210000}"/>
    <cellStyle name="Note 3 3 2 6" xfId="2698" xr:uid="{00000000-0005-0000-0000-0000B8210000}"/>
    <cellStyle name="Note 3 3 2 6 2" xfId="6982" xr:uid="{00000000-0005-0000-0000-0000B9210000}"/>
    <cellStyle name="Note 3 3 2 7" xfId="2757" xr:uid="{00000000-0005-0000-0000-0000BA210000}"/>
    <cellStyle name="Note 3 3 2 8" xfId="2838" xr:uid="{00000000-0005-0000-0000-0000BB210000}"/>
    <cellStyle name="Note 3 3 2 8 2" xfId="7062" xr:uid="{00000000-0005-0000-0000-0000BC210000}"/>
    <cellStyle name="Note 3 3 2 9" xfId="4917" xr:uid="{00000000-0005-0000-0000-0000BD210000}"/>
    <cellStyle name="Note 3 3 3" xfId="1019" xr:uid="{00000000-0005-0000-0000-0000BE210000}"/>
    <cellStyle name="Note 3 3 3 2" xfId="3251" xr:uid="{00000000-0005-0000-0000-0000BF210000}"/>
    <cellStyle name="Note 3 3 3 2 2" xfId="7474" xr:uid="{00000000-0005-0000-0000-0000C0210000}"/>
    <cellStyle name="Note 3 3 3 3" xfId="5329" xr:uid="{00000000-0005-0000-0000-0000C1210000}"/>
    <cellStyle name="Note 3 3 4" xfId="1434" xr:uid="{00000000-0005-0000-0000-0000C2210000}"/>
    <cellStyle name="Note 3 3 4 2" xfId="3664" xr:uid="{00000000-0005-0000-0000-0000C3210000}"/>
    <cellStyle name="Note 3 3 4 2 2" xfId="7887" xr:uid="{00000000-0005-0000-0000-0000C4210000}"/>
    <cellStyle name="Note 3 3 4 3" xfId="5742" xr:uid="{00000000-0005-0000-0000-0000C5210000}"/>
    <cellStyle name="Note 3 3 5" xfId="1848" xr:uid="{00000000-0005-0000-0000-0000C6210000}"/>
    <cellStyle name="Note 3 3 5 2" xfId="4077" xr:uid="{00000000-0005-0000-0000-0000C7210000}"/>
    <cellStyle name="Note 3 3 5 2 2" xfId="8300" xr:uid="{00000000-0005-0000-0000-0000C8210000}"/>
    <cellStyle name="Note 3 3 5 3" xfId="6155" xr:uid="{00000000-0005-0000-0000-0000C9210000}"/>
    <cellStyle name="Note 3 3 6" xfId="2261" xr:uid="{00000000-0005-0000-0000-0000CA210000}"/>
    <cellStyle name="Note 3 3 6 2" xfId="4490" xr:uid="{00000000-0005-0000-0000-0000CB210000}"/>
    <cellStyle name="Note 3 3 6 2 2" xfId="8713" xr:uid="{00000000-0005-0000-0000-0000CC210000}"/>
    <cellStyle name="Note 3 3 6 3" xfId="6568" xr:uid="{00000000-0005-0000-0000-0000CD210000}"/>
    <cellStyle name="Note 3 3 7" xfId="2697" xr:uid="{00000000-0005-0000-0000-0000CE210000}"/>
    <cellStyle name="Note 3 3 7 2" xfId="6981" xr:uid="{00000000-0005-0000-0000-0000CF210000}"/>
    <cellStyle name="Note 3 3 8" xfId="2756" xr:uid="{00000000-0005-0000-0000-0000D0210000}"/>
    <cellStyle name="Note 3 3 9" xfId="2837" xr:uid="{00000000-0005-0000-0000-0000D1210000}"/>
    <cellStyle name="Note 3 3 9 2" xfId="7061"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6" xr:uid="{00000000-0005-0000-0000-0000D6210000}"/>
    <cellStyle name="Note 3 4 2 3" xfId="5331" xr:uid="{00000000-0005-0000-0000-0000D7210000}"/>
    <cellStyle name="Note 3 4 3" xfId="1436" xr:uid="{00000000-0005-0000-0000-0000D8210000}"/>
    <cellStyle name="Note 3 4 3 2" xfId="3666" xr:uid="{00000000-0005-0000-0000-0000D9210000}"/>
    <cellStyle name="Note 3 4 3 2 2" xfId="7889" xr:uid="{00000000-0005-0000-0000-0000DA210000}"/>
    <cellStyle name="Note 3 4 3 3" xfId="5744" xr:uid="{00000000-0005-0000-0000-0000DB210000}"/>
    <cellStyle name="Note 3 4 4" xfId="1850" xr:uid="{00000000-0005-0000-0000-0000DC210000}"/>
    <cellStyle name="Note 3 4 4 2" xfId="4079" xr:uid="{00000000-0005-0000-0000-0000DD210000}"/>
    <cellStyle name="Note 3 4 4 2 2" xfId="8302" xr:uid="{00000000-0005-0000-0000-0000DE210000}"/>
    <cellStyle name="Note 3 4 4 3" xfId="6157" xr:uid="{00000000-0005-0000-0000-0000DF210000}"/>
    <cellStyle name="Note 3 4 5" xfId="2263" xr:uid="{00000000-0005-0000-0000-0000E0210000}"/>
    <cellStyle name="Note 3 4 5 2" xfId="4492" xr:uid="{00000000-0005-0000-0000-0000E1210000}"/>
    <cellStyle name="Note 3 4 5 2 2" xfId="8715" xr:uid="{00000000-0005-0000-0000-0000E2210000}"/>
    <cellStyle name="Note 3 4 5 3" xfId="6570" xr:uid="{00000000-0005-0000-0000-0000E3210000}"/>
    <cellStyle name="Note 3 4 6" xfId="2699" xr:uid="{00000000-0005-0000-0000-0000E4210000}"/>
    <cellStyle name="Note 3 4 6 2" xfId="6983" xr:uid="{00000000-0005-0000-0000-0000E5210000}"/>
    <cellStyle name="Note 3 4 7" xfId="2758" xr:uid="{00000000-0005-0000-0000-0000E6210000}"/>
    <cellStyle name="Note 3 4 8" xfId="2839" xr:uid="{00000000-0005-0000-0000-0000E7210000}"/>
    <cellStyle name="Note 3 4 8 2" xfId="7063" xr:uid="{00000000-0005-0000-0000-0000E8210000}"/>
    <cellStyle name="Note 3 4 9" xfId="4918"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7" xr:uid="{00000000-0005-0000-0000-0000ED210000}"/>
    <cellStyle name="Note 3 5 2 3" xfId="5332" xr:uid="{00000000-0005-0000-0000-0000EE210000}"/>
    <cellStyle name="Note 3 5 3" xfId="1437" xr:uid="{00000000-0005-0000-0000-0000EF210000}"/>
    <cellStyle name="Note 3 5 3 2" xfId="3667" xr:uid="{00000000-0005-0000-0000-0000F0210000}"/>
    <cellStyle name="Note 3 5 3 2 2" xfId="7890" xr:uid="{00000000-0005-0000-0000-0000F1210000}"/>
    <cellStyle name="Note 3 5 3 3" xfId="5745" xr:uid="{00000000-0005-0000-0000-0000F2210000}"/>
    <cellStyle name="Note 3 5 4" xfId="1851" xr:uid="{00000000-0005-0000-0000-0000F3210000}"/>
    <cellStyle name="Note 3 5 4 2" xfId="4080" xr:uid="{00000000-0005-0000-0000-0000F4210000}"/>
    <cellStyle name="Note 3 5 4 2 2" xfId="8303" xr:uid="{00000000-0005-0000-0000-0000F5210000}"/>
    <cellStyle name="Note 3 5 4 3" xfId="6158" xr:uid="{00000000-0005-0000-0000-0000F6210000}"/>
    <cellStyle name="Note 3 5 5" xfId="2264" xr:uid="{00000000-0005-0000-0000-0000F7210000}"/>
    <cellStyle name="Note 3 5 5 2" xfId="4493" xr:uid="{00000000-0005-0000-0000-0000F8210000}"/>
    <cellStyle name="Note 3 5 5 2 2" xfId="8716" xr:uid="{00000000-0005-0000-0000-0000F9210000}"/>
    <cellStyle name="Note 3 5 5 3" xfId="6571" xr:uid="{00000000-0005-0000-0000-0000FA210000}"/>
    <cellStyle name="Note 3 5 6" xfId="2700" xr:uid="{00000000-0005-0000-0000-0000FB210000}"/>
    <cellStyle name="Note 3 5 6 2" xfId="6984" xr:uid="{00000000-0005-0000-0000-0000FC210000}"/>
    <cellStyle name="Note 3 5 7" xfId="2759" xr:uid="{00000000-0005-0000-0000-0000FD210000}"/>
    <cellStyle name="Note 3 5 8" xfId="2840" xr:uid="{00000000-0005-0000-0000-0000FE210000}"/>
    <cellStyle name="Note 3 5 8 2" xfId="7064" xr:uid="{00000000-0005-0000-0000-0000FF210000}"/>
    <cellStyle name="Note 3 5 9" xfId="4919"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19050</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Elissa/Desktop/My%20documents/CHISPA%20-%20East%20Garrison/East%20Garrison%20-with%20Enterprise%20--%20for%20cdl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Sheet2"/>
      <sheetName val="main spreadsheet"/>
    </sheetNames>
    <sheetDataSet>
      <sheetData sheetId="0"/>
      <sheetData sheetId="1"/>
      <sheetData sheetId="2"/>
      <sheetData sheetId="3">
        <row r="3">
          <cell r="N3">
            <v>124</v>
          </cell>
          <cell r="O3">
            <v>174</v>
          </cell>
          <cell r="P3">
            <v>243</v>
          </cell>
        </row>
        <row r="6">
          <cell r="BO6">
            <v>10146800</v>
          </cell>
          <cell r="BT6">
            <v>4.2500000000000003E-2</v>
          </cell>
        </row>
        <row r="7">
          <cell r="BO7">
            <v>4964384</v>
          </cell>
        </row>
        <row r="9">
          <cell r="BO9">
            <v>5477743</v>
          </cell>
        </row>
        <row r="11">
          <cell r="BO11">
            <v>165000</v>
          </cell>
        </row>
        <row r="12">
          <cell r="BO12">
            <v>23656064.042769056</v>
          </cell>
          <cell r="BT12">
            <v>3.5000000000000003E-2</v>
          </cell>
        </row>
        <row r="13">
          <cell r="BO13">
            <v>1997359.7149306724</v>
          </cell>
          <cell r="BT13">
            <v>3.7499999999999999E-2</v>
          </cell>
        </row>
        <row r="14">
          <cell r="BO14">
            <v>1283210.2122432902</v>
          </cell>
        </row>
        <row r="15">
          <cell r="BO15">
            <v>3300000</v>
          </cell>
        </row>
        <row r="16">
          <cell r="BO16">
            <v>459743.42961278558</v>
          </cell>
          <cell r="BV16">
            <v>0.54500000000000004</v>
          </cell>
        </row>
        <row r="18">
          <cell r="BO18">
            <v>19752753.545456443</v>
          </cell>
        </row>
        <row r="19">
          <cell r="BQ19">
            <v>0.9375</v>
          </cell>
        </row>
        <row r="23">
          <cell r="CS23">
            <v>2048500</v>
          </cell>
        </row>
        <row r="24">
          <cell r="BO24">
            <v>3300000</v>
          </cell>
        </row>
        <row r="25">
          <cell r="BO25">
            <v>115000</v>
          </cell>
        </row>
        <row r="26">
          <cell r="D26">
            <v>1595</v>
          </cell>
          <cell r="BO26">
            <v>40000</v>
          </cell>
        </row>
        <row r="27">
          <cell r="C27">
            <v>1</v>
          </cell>
          <cell r="BO27">
            <v>5352099</v>
          </cell>
        </row>
        <row r="28">
          <cell r="D28">
            <v>1951</v>
          </cell>
          <cell r="BO28">
            <v>19772985</v>
          </cell>
        </row>
        <row r="29">
          <cell r="C29">
            <v>2</v>
          </cell>
          <cell r="BO29">
            <v>3540957</v>
          </cell>
        </row>
        <row r="30">
          <cell r="D30">
            <v>2371</v>
          </cell>
          <cell r="BO30">
            <v>150000</v>
          </cell>
          <cell r="BW30">
            <v>60000</v>
          </cell>
        </row>
        <row r="31">
          <cell r="C31">
            <v>5</v>
          </cell>
          <cell r="BW31">
            <v>20000</v>
          </cell>
        </row>
        <row r="32">
          <cell r="C32">
            <v>15</v>
          </cell>
          <cell r="BO32">
            <v>179040</v>
          </cell>
        </row>
        <row r="33">
          <cell r="BO33">
            <v>40000</v>
          </cell>
        </row>
        <row r="34">
          <cell r="BO34">
            <v>1953570.71</v>
          </cell>
        </row>
        <row r="35">
          <cell r="BO35">
            <v>1945957</v>
          </cell>
        </row>
        <row r="36">
          <cell r="BO36">
            <v>668779</v>
          </cell>
        </row>
        <row r="37">
          <cell r="BO37">
            <v>600000</v>
          </cell>
        </row>
        <row r="38">
          <cell r="BO38">
            <v>150000</v>
          </cell>
          <cell r="BW38">
            <v>50000</v>
          </cell>
        </row>
        <row r="39">
          <cell r="F39">
            <v>23006.5206</v>
          </cell>
          <cell r="BO39">
            <v>50000</v>
          </cell>
          <cell r="BW39">
            <v>50000</v>
          </cell>
        </row>
        <row r="40">
          <cell r="F40">
            <v>5073.4000000000005</v>
          </cell>
          <cell r="BO40">
            <v>15000</v>
          </cell>
          <cell r="BW40">
            <v>50000</v>
          </cell>
        </row>
        <row r="41">
          <cell r="BO41">
            <v>200000</v>
          </cell>
          <cell r="BW41">
            <v>204921.32</v>
          </cell>
        </row>
        <row r="42">
          <cell r="BW42">
            <v>589733.44808553811</v>
          </cell>
        </row>
        <row r="43">
          <cell r="BO43">
            <v>177420.48032076791</v>
          </cell>
        </row>
        <row r="44">
          <cell r="J44">
            <v>527982.89331448637</v>
          </cell>
        </row>
        <row r="45">
          <cell r="I45">
            <v>33000</v>
          </cell>
        </row>
        <row r="46">
          <cell r="BO46">
            <v>32000</v>
          </cell>
        </row>
        <row r="47">
          <cell r="BO47">
            <v>575381.38682395511</v>
          </cell>
          <cell r="BQ47">
            <v>575381.38682395511</v>
          </cell>
        </row>
        <row r="48">
          <cell r="BO48">
            <v>526670.21797064343</v>
          </cell>
        </row>
        <row r="51">
          <cell r="BO51">
            <v>150000</v>
          </cell>
        </row>
        <row r="52">
          <cell r="DE52">
            <v>373766.84130681003</v>
          </cell>
        </row>
        <row r="53">
          <cell r="BO53">
            <v>7500</v>
          </cell>
        </row>
        <row r="54">
          <cell r="BO54">
            <v>49347.944111608689</v>
          </cell>
        </row>
        <row r="55">
          <cell r="BO55">
            <v>5000</v>
          </cell>
        </row>
        <row r="56">
          <cell r="BO56">
            <v>40000</v>
          </cell>
          <cell r="BQ56">
            <v>40000</v>
          </cell>
        </row>
        <row r="57">
          <cell r="BO57">
            <v>90000</v>
          </cell>
        </row>
        <row r="58">
          <cell r="BO58">
            <v>10000</v>
          </cell>
        </row>
        <row r="59">
          <cell r="BO59">
            <v>10000</v>
          </cell>
        </row>
        <row r="60">
          <cell r="BO60">
            <v>7500</v>
          </cell>
        </row>
        <row r="61">
          <cell r="BO61">
            <v>60000</v>
          </cell>
        </row>
        <row r="62">
          <cell r="BO62">
            <v>50000</v>
          </cell>
        </row>
        <row r="63">
          <cell r="BO63">
            <v>30000</v>
          </cell>
        </row>
        <row r="64">
          <cell r="BO64">
            <v>545840</v>
          </cell>
        </row>
        <row r="65">
          <cell r="DI65">
            <v>0.92846816421706269</v>
          </cell>
        </row>
        <row r="66">
          <cell r="F66">
            <v>0</v>
          </cell>
        </row>
        <row r="67">
          <cell r="BO67">
            <v>3500000</v>
          </cell>
        </row>
        <row r="68">
          <cell r="F68">
            <v>27720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757" t="s">
        <v>585</v>
      </c>
      <c r="B1" s="1757"/>
      <c r="C1" s="1757"/>
      <c r="D1" s="1757"/>
      <c r="E1" s="1757"/>
      <c r="F1" s="1757"/>
      <c r="G1" s="1757"/>
      <c r="H1" s="1757"/>
      <c r="I1" s="1757"/>
      <c r="J1" s="1757"/>
      <c r="K1" s="1757"/>
      <c r="L1" s="1757"/>
      <c r="M1" s="1757"/>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c r="AL1" s="1757"/>
    </row>
    <row r="2" spans="1:38" ht="13.5" thickBot="1">
      <c r="A2" s="1758"/>
      <c r="B2" s="1758"/>
      <c r="C2" s="1758"/>
      <c r="D2" s="1758"/>
      <c r="E2" s="1758"/>
      <c r="F2" s="1758"/>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759" t="s">
        <v>1395</v>
      </c>
      <c r="E7" s="1759"/>
      <c r="F7" s="1759"/>
      <c r="G7" s="1759"/>
      <c r="H7" s="1759"/>
      <c r="I7" s="1759"/>
      <c r="J7" s="1759"/>
      <c r="K7" s="1759"/>
      <c r="L7" s="1759"/>
      <c r="M7" s="1759"/>
      <c r="N7" s="1759"/>
      <c r="O7" s="1759"/>
      <c r="P7" s="1759"/>
      <c r="Q7" s="1759"/>
      <c r="R7" s="1759"/>
      <c r="S7" s="1759"/>
      <c r="T7" s="1759"/>
      <c r="U7" s="1759"/>
      <c r="V7" s="1759"/>
      <c r="W7" s="1759"/>
      <c r="X7" s="1759"/>
      <c r="Y7" s="1759"/>
      <c r="Z7" s="1759"/>
      <c r="AA7" s="1759"/>
      <c r="AB7" s="1759"/>
      <c r="AC7" s="1759"/>
      <c r="AD7" s="1759"/>
      <c r="AE7" s="1759"/>
      <c r="AF7" s="1759"/>
      <c r="AG7" s="1759"/>
      <c r="AH7" s="1759"/>
      <c r="AI7" s="1759"/>
      <c r="AJ7" s="1759"/>
      <c r="AK7" s="1759"/>
      <c r="AL7" s="747"/>
    </row>
    <row r="8" spans="1:38">
      <c r="A8" s="328"/>
      <c r="B8" s="326"/>
      <c r="C8" s="327"/>
      <c r="D8" s="1759"/>
      <c r="E8" s="1759"/>
      <c r="F8" s="1759"/>
      <c r="G8" s="1759"/>
      <c r="H8" s="1759"/>
      <c r="I8" s="1759"/>
      <c r="J8" s="1759"/>
      <c r="K8" s="1759"/>
      <c r="L8" s="1759"/>
      <c r="M8" s="1759"/>
      <c r="N8" s="1759"/>
      <c r="O8" s="1759"/>
      <c r="P8" s="1759"/>
      <c r="Q8" s="1759"/>
      <c r="R8" s="1759"/>
      <c r="S8" s="1759"/>
      <c r="T8" s="1759"/>
      <c r="U8" s="1759"/>
      <c r="V8" s="1759"/>
      <c r="W8" s="1759"/>
      <c r="X8" s="1759"/>
      <c r="Y8" s="1759"/>
      <c r="Z8" s="1759"/>
      <c r="AA8" s="1759"/>
      <c r="AB8" s="1759"/>
      <c r="AC8" s="1759"/>
      <c r="AD8" s="1759"/>
      <c r="AE8" s="1759"/>
      <c r="AF8" s="1759"/>
      <c r="AG8" s="1759"/>
      <c r="AH8" s="1759"/>
      <c r="AI8" s="1759"/>
      <c r="AJ8" s="1759"/>
      <c r="AK8" s="1759"/>
      <c r="AL8" s="747"/>
    </row>
    <row r="9" spans="1:38">
      <c r="A9" s="328"/>
      <c r="B9" s="326"/>
      <c r="C9" s="327"/>
      <c r="D9" s="1759"/>
      <c r="E9" s="1759"/>
      <c r="F9" s="1759"/>
      <c r="G9" s="1759"/>
      <c r="H9" s="1759"/>
      <c r="I9" s="1759"/>
      <c r="J9" s="1759"/>
      <c r="K9" s="1759"/>
      <c r="L9" s="1759"/>
      <c r="M9" s="1759"/>
      <c r="N9" s="1759"/>
      <c r="O9" s="1759"/>
      <c r="P9" s="1759"/>
      <c r="Q9" s="1759"/>
      <c r="R9" s="1759"/>
      <c r="S9" s="1759"/>
      <c r="T9" s="1759"/>
      <c r="U9" s="1759"/>
      <c r="V9" s="1759"/>
      <c r="W9" s="1759"/>
      <c r="X9" s="1759"/>
      <c r="Y9" s="1759"/>
      <c r="Z9" s="1759"/>
      <c r="AA9" s="1759"/>
      <c r="AB9" s="1759"/>
      <c r="AC9" s="1759"/>
      <c r="AD9" s="1759"/>
      <c r="AE9" s="1759"/>
      <c r="AF9" s="1759"/>
      <c r="AG9" s="1759"/>
      <c r="AH9" s="1759"/>
      <c r="AI9" s="1759"/>
      <c r="AJ9" s="1759"/>
      <c r="AK9" s="1759"/>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15" customHeight="1">
      <c r="A11" s="328"/>
      <c r="B11" s="326"/>
      <c r="C11" s="327"/>
      <c r="D11" s="1759" t="s">
        <v>1402</v>
      </c>
      <c r="E11" s="1759"/>
      <c r="F11" s="1759"/>
      <c r="G11" s="1759"/>
      <c r="H11" s="1759"/>
      <c r="I11" s="1759"/>
      <c r="J11" s="1759"/>
      <c r="K11" s="1759"/>
      <c r="L11" s="1759"/>
      <c r="M11" s="1759"/>
      <c r="N11" s="1759"/>
      <c r="O11" s="1759"/>
      <c r="P11" s="1759"/>
      <c r="Q11" s="1759"/>
      <c r="R11" s="1759"/>
      <c r="S11" s="1759"/>
      <c r="T11" s="1759"/>
      <c r="U11" s="1759"/>
      <c r="V11" s="1759"/>
      <c r="W11" s="1759"/>
      <c r="X11" s="1759"/>
      <c r="Y11" s="1759"/>
      <c r="Z11" s="1759"/>
      <c r="AA11" s="1759"/>
      <c r="AB11" s="1759"/>
      <c r="AC11" s="1759"/>
      <c r="AD11" s="1759"/>
      <c r="AE11" s="1759"/>
      <c r="AF11" s="1759"/>
      <c r="AG11" s="1759"/>
      <c r="AH11" s="1759"/>
      <c r="AI11" s="1759"/>
      <c r="AJ11" s="1759"/>
      <c r="AK11" s="1759"/>
      <c r="AL11" s="747"/>
    </row>
    <row r="12" spans="1:38">
      <c r="A12" s="328"/>
      <c r="B12" s="326"/>
      <c r="C12" s="327"/>
      <c r="D12" s="1759"/>
      <c r="E12" s="1759"/>
      <c r="F12" s="1759"/>
      <c r="G12" s="1759"/>
      <c r="H12" s="1759"/>
      <c r="I12" s="1759"/>
      <c r="J12" s="1759"/>
      <c r="K12" s="1759"/>
      <c r="L12" s="1759"/>
      <c r="M12" s="1759"/>
      <c r="N12" s="1759"/>
      <c r="O12" s="1759"/>
      <c r="P12" s="1759"/>
      <c r="Q12" s="1759"/>
      <c r="R12" s="1759"/>
      <c r="S12" s="1759"/>
      <c r="T12" s="1759"/>
      <c r="U12" s="1759"/>
      <c r="V12" s="1759"/>
      <c r="W12" s="1759"/>
      <c r="X12" s="1759"/>
      <c r="Y12" s="1759"/>
      <c r="Z12" s="1759"/>
      <c r="AA12" s="1759"/>
      <c r="AB12" s="1759"/>
      <c r="AC12" s="1759"/>
      <c r="AD12" s="1759"/>
      <c r="AE12" s="1759"/>
      <c r="AF12" s="1759"/>
      <c r="AG12" s="1759"/>
      <c r="AH12" s="1759"/>
      <c r="AI12" s="1759"/>
      <c r="AJ12" s="1759"/>
      <c r="AK12" s="1759"/>
      <c r="AL12" s="747"/>
    </row>
    <row r="13" spans="1:38" s="718" customFormat="1">
      <c r="A13" s="328"/>
      <c r="B13" s="326"/>
      <c r="C13" s="327"/>
      <c r="D13" s="1759"/>
      <c r="E13" s="1759"/>
      <c r="F13" s="1759"/>
      <c r="G13" s="1759"/>
      <c r="H13" s="1759"/>
      <c r="I13" s="1759"/>
      <c r="J13" s="1759"/>
      <c r="K13" s="1759"/>
      <c r="L13" s="1759"/>
      <c r="M13" s="1759"/>
      <c r="N13" s="1759"/>
      <c r="O13" s="1759"/>
      <c r="P13" s="1759"/>
      <c r="Q13" s="1759"/>
      <c r="R13" s="1759"/>
      <c r="S13" s="1759"/>
      <c r="T13" s="1759"/>
      <c r="U13" s="1759"/>
      <c r="V13" s="1759"/>
      <c r="W13" s="1759"/>
      <c r="X13" s="1759"/>
      <c r="Y13" s="1759"/>
      <c r="Z13" s="1759"/>
      <c r="AA13" s="1759"/>
      <c r="AB13" s="1759"/>
      <c r="AC13" s="1759"/>
      <c r="AD13" s="1759"/>
      <c r="AE13" s="1759"/>
      <c r="AF13" s="1759"/>
      <c r="AG13" s="1759"/>
      <c r="AH13" s="1759"/>
      <c r="AI13" s="1759"/>
      <c r="AJ13" s="1759"/>
      <c r="AK13" s="1759"/>
      <c r="AL13" s="747"/>
    </row>
    <row r="14" spans="1:38" s="718" customFormat="1" ht="13.15" customHeight="1">
      <c r="A14" s="328"/>
      <c r="B14" s="326"/>
      <c r="C14" s="327"/>
      <c r="E14" s="1761" t="s">
        <v>2188</v>
      </c>
      <c r="F14" s="1761"/>
      <c r="G14" s="1761"/>
      <c r="H14" s="1761"/>
      <c r="I14" s="1761"/>
      <c r="J14" s="1761"/>
      <c r="K14" s="1761"/>
      <c r="L14" s="1761"/>
      <c r="M14" s="1761"/>
      <c r="N14" s="1761"/>
      <c r="O14" s="1761"/>
      <c r="P14" s="1761"/>
      <c r="Q14" s="1761"/>
      <c r="R14" s="1761"/>
      <c r="S14" s="1761"/>
      <c r="T14" s="1761"/>
      <c r="U14" s="1761"/>
      <c r="V14" s="1761"/>
      <c r="W14" s="1761"/>
      <c r="X14" s="1761"/>
      <c r="Y14" s="1761"/>
      <c r="Z14" s="1761"/>
      <c r="AA14" s="1761"/>
      <c r="AB14" s="1761"/>
      <c r="AC14" s="1761"/>
      <c r="AD14" s="1761"/>
      <c r="AE14" s="1761"/>
      <c r="AF14" s="1761"/>
      <c r="AG14" s="1761"/>
      <c r="AH14" s="1761"/>
      <c r="AI14" s="1761"/>
      <c r="AJ14" s="1761"/>
      <c r="AK14" s="1761"/>
      <c r="AL14" s="747"/>
    </row>
    <row r="15" spans="1:38" s="718" customFormat="1" ht="13.15" customHeight="1">
      <c r="A15" s="328"/>
      <c r="B15" s="326"/>
      <c r="C15" s="327"/>
      <c r="E15" s="1761"/>
      <c r="F15" s="1761"/>
      <c r="G15" s="1761"/>
      <c r="H15" s="1761"/>
      <c r="I15" s="1761"/>
      <c r="J15" s="1761"/>
      <c r="K15" s="1761"/>
      <c r="L15" s="1761"/>
      <c r="M15" s="1761"/>
      <c r="N15" s="1761"/>
      <c r="O15" s="1761"/>
      <c r="P15" s="1761"/>
      <c r="Q15" s="1761"/>
      <c r="R15" s="1761"/>
      <c r="S15" s="1761"/>
      <c r="T15" s="1761"/>
      <c r="U15" s="1761"/>
      <c r="V15" s="1761"/>
      <c r="W15" s="1761"/>
      <c r="X15" s="1761"/>
      <c r="Y15" s="1761"/>
      <c r="Z15" s="1761"/>
      <c r="AA15" s="1761"/>
      <c r="AB15" s="1761"/>
      <c r="AC15" s="1761"/>
      <c r="AD15" s="1761"/>
      <c r="AE15" s="1761"/>
      <c r="AF15" s="1761"/>
      <c r="AG15" s="1761"/>
      <c r="AH15" s="1761"/>
      <c r="AI15" s="1761"/>
      <c r="AJ15" s="1761"/>
      <c r="AK15" s="1761"/>
      <c r="AL15" s="747"/>
    </row>
    <row r="16" spans="1:38" s="718" customFormat="1">
      <c r="A16" s="328"/>
      <c r="B16" s="326"/>
      <c r="C16" s="327"/>
      <c r="D16" s="747"/>
      <c r="E16" s="1761"/>
      <c r="F16" s="1761"/>
      <c r="G16" s="1761"/>
      <c r="H16" s="1761"/>
      <c r="I16" s="1761"/>
      <c r="J16" s="1761"/>
      <c r="K16" s="1761"/>
      <c r="L16" s="1761"/>
      <c r="M16" s="1761"/>
      <c r="N16" s="1761"/>
      <c r="O16" s="1761"/>
      <c r="P16" s="1761"/>
      <c r="Q16" s="1761"/>
      <c r="R16" s="1761"/>
      <c r="S16" s="1761"/>
      <c r="T16" s="1761"/>
      <c r="U16" s="1761"/>
      <c r="V16" s="1761"/>
      <c r="W16" s="1761"/>
      <c r="X16" s="1761"/>
      <c r="Y16" s="1761"/>
      <c r="Z16" s="1761"/>
      <c r="AA16" s="1761"/>
      <c r="AB16" s="1761"/>
      <c r="AC16" s="1761"/>
      <c r="AD16" s="1761"/>
      <c r="AE16" s="1761"/>
      <c r="AF16" s="1761"/>
      <c r="AG16" s="1761"/>
      <c r="AH16" s="1761"/>
      <c r="AI16" s="1761"/>
      <c r="AJ16" s="1761"/>
      <c r="AK16" s="1761"/>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761" t="s">
        <v>1531</v>
      </c>
      <c r="E18" s="1761"/>
      <c r="F18" s="1761"/>
      <c r="G18" s="1761"/>
      <c r="H18" s="1761"/>
      <c r="I18" s="1761"/>
      <c r="J18" s="1761"/>
      <c r="K18" s="1761"/>
      <c r="L18" s="1761"/>
      <c r="M18" s="1761"/>
      <c r="N18" s="1761"/>
      <c r="O18" s="1761"/>
      <c r="P18" s="1761"/>
      <c r="Q18" s="1761"/>
      <c r="R18" s="1761"/>
      <c r="S18" s="1761"/>
      <c r="T18" s="1761"/>
      <c r="U18" s="1761"/>
      <c r="V18" s="1761"/>
      <c r="W18" s="1761"/>
      <c r="X18" s="1761"/>
      <c r="Y18" s="1761"/>
      <c r="Z18" s="1761"/>
      <c r="AA18" s="1761"/>
      <c r="AB18" s="1761"/>
      <c r="AC18" s="1761"/>
      <c r="AD18" s="1761"/>
      <c r="AE18" s="1761"/>
      <c r="AF18" s="1761"/>
      <c r="AG18" s="1761"/>
      <c r="AH18" s="1761"/>
      <c r="AI18" s="1761"/>
      <c r="AJ18" s="1761"/>
      <c r="AK18" s="1761"/>
      <c r="AL18" s="326"/>
    </row>
    <row r="19" spans="1:38">
      <c r="A19" s="328"/>
      <c r="B19" s="326"/>
      <c r="C19" s="327"/>
      <c r="D19" s="1761"/>
      <c r="E19" s="1761"/>
      <c r="F19" s="1761"/>
      <c r="G19" s="1761"/>
      <c r="H19" s="1761"/>
      <c r="I19" s="1761"/>
      <c r="J19" s="1761"/>
      <c r="K19" s="1761"/>
      <c r="L19" s="1761"/>
      <c r="M19" s="1761"/>
      <c r="N19" s="1761"/>
      <c r="O19" s="1761"/>
      <c r="P19" s="1761"/>
      <c r="Q19" s="1761"/>
      <c r="R19" s="1761"/>
      <c r="S19" s="1761"/>
      <c r="T19" s="1761"/>
      <c r="U19" s="1761"/>
      <c r="V19" s="1761"/>
      <c r="W19" s="1761"/>
      <c r="X19" s="1761"/>
      <c r="Y19" s="1761"/>
      <c r="Z19" s="1761"/>
      <c r="AA19" s="1761"/>
      <c r="AB19" s="1761"/>
      <c r="AC19" s="1761"/>
      <c r="AD19" s="1761"/>
      <c r="AE19" s="1761"/>
      <c r="AF19" s="1761"/>
      <c r="AG19" s="1761"/>
      <c r="AH19" s="1761"/>
      <c r="AI19" s="1761"/>
      <c r="AJ19" s="1761"/>
      <c r="AK19" s="1761"/>
      <c r="AL19" s="326"/>
    </row>
    <row r="20" spans="1:38" s="718" customFormat="1">
      <c r="A20" s="328"/>
      <c r="B20" s="326"/>
      <c r="C20" s="327"/>
      <c r="D20" s="1761"/>
      <c r="E20" s="1761"/>
      <c r="F20" s="1761"/>
      <c r="G20" s="1761"/>
      <c r="H20" s="1761"/>
      <c r="I20" s="1761"/>
      <c r="J20" s="1761"/>
      <c r="K20" s="1761"/>
      <c r="L20" s="1761"/>
      <c r="M20" s="1761"/>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c r="AL20" s="326"/>
    </row>
    <row r="21" spans="1:38" s="718" customFormat="1" ht="13.15" customHeight="1">
      <c r="A21" s="328"/>
      <c r="B21" s="326"/>
      <c r="C21" s="327"/>
      <c r="D21" s="1761"/>
      <c r="E21" s="1761"/>
      <c r="F21" s="1761"/>
      <c r="G21" s="1761"/>
      <c r="H21" s="1761"/>
      <c r="I21" s="1761"/>
      <c r="J21" s="1761"/>
      <c r="K21" s="1761"/>
      <c r="L21" s="1761"/>
      <c r="M21" s="1761"/>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c r="AL21" s="326"/>
    </row>
    <row r="22" spans="1:38" s="718" customFormat="1">
      <c r="A22" s="328"/>
      <c r="B22" s="326"/>
      <c r="C22" s="327"/>
      <c r="D22" s="1761"/>
      <c r="E22" s="1761"/>
      <c r="F22" s="1761"/>
      <c r="G22" s="1761"/>
      <c r="H22" s="1761"/>
      <c r="I22" s="1761"/>
      <c r="J22" s="1761"/>
      <c r="K22" s="1761"/>
      <c r="L22" s="1761"/>
      <c r="M22" s="1761"/>
      <c r="N22" s="1761"/>
      <c r="O22" s="1761"/>
      <c r="P22" s="1761"/>
      <c r="Q22" s="1761"/>
      <c r="R22" s="1761"/>
      <c r="S22" s="1761"/>
      <c r="T22" s="1761"/>
      <c r="U22" s="1761"/>
      <c r="V22" s="1761"/>
      <c r="W22" s="1761"/>
      <c r="X22" s="1761"/>
      <c r="Y22" s="1761"/>
      <c r="Z22" s="1761"/>
      <c r="AA22" s="1761"/>
      <c r="AB22" s="1761"/>
      <c r="AC22" s="1761"/>
      <c r="AD22" s="1761"/>
      <c r="AE22" s="1761"/>
      <c r="AF22" s="1761"/>
      <c r="AG22" s="1761"/>
      <c r="AH22" s="1761"/>
      <c r="AI22" s="1761"/>
      <c r="AJ22" s="1761"/>
      <c r="AK22" s="1761"/>
      <c r="AL22" s="326"/>
    </row>
    <row r="23" spans="1:38" s="718" customFormat="1">
      <c r="A23" s="328"/>
      <c r="B23" s="326"/>
      <c r="C23" s="327"/>
      <c r="D23" s="1761"/>
      <c r="E23" s="1761"/>
      <c r="F23" s="1761"/>
      <c r="G23" s="1761"/>
      <c r="H23" s="1761"/>
      <c r="I23" s="1761"/>
      <c r="J23" s="1761"/>
      <c r="K23" s="1761"/>
      <c r="L23" s="1761"/>
      <c r="M23" s="1761"/>
      <c r="N23" s="1761"/>
      <c r="O23" s="1761"/>
      <c r="P23" s="1761"/>
      <c r="Q23" s="1761"/>
      <c r="R23" s="1761"/>
      <c r="S23" s="1761"/>
      <c r="T23" s="1761"/>
      <c r="U23" s="1761"/>
      <c r="V23" s="1761"/>
      <c r="W23" s="1761"/>
      <c r="X23" s="1761"/>
      <c r="Y23" s="1761"/>
      <c r="Z23" s="1761"/>
      <c r="AA23" s="1761"/>
      <c r="AB23" s="1761"/>
      <c r="AC23" s="1761"/>
      <c r="AD23" s="1761"/>
      <c r="AE23" s="1761"/>
      <c r="AF23" s="1761"/>
      <c r="AG23" s="1761"/>
      <c r="AH23" s="1761"/>
      <c r="AI23" s="1761"/>
      <c r="AJ23" s="1761"/>
      <c r="AK23" s="1761"/>
      <c r="AL23" s="326"/>
    </row>
    <row r="24" spans="1:38">
      <c r="A24" s="328"/>
      <c r="B24" s="326"/>
      <c r="C24" s="327"/>
      <c r="D24" s="1761"/>
      <c r="E24" s="1761"/>
      <c r="F24" s="1761"/>
      <c r="G24" s="1761"/>
      <c r="H24" s="1761"/>
      <c r="I24" s="1761"/>
      <c r="J24" s="1761"/>
      <c r="K24" s="1761"/>
      <c r="L24" s="1761"/>
      <c r="M24" s="1761"/>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c r="AJ24" s="1761"/>
      <c r="AK24" s="1761"/>
      <c r="AL24" s="326"/>
    </row>
    <row r="25" spans="1:38" s="718" customFormat="1">
      <c r="A25" s="328"/>
      <c r="B25" s="326"/>
      <c r="C25" s="327"/>
      <c r="D25" s="1761"/>
      <c r="E25" s="1761"/>
      <c r="F25" s="1761"/>
      <c r="G25" s="1761"/>
      <c r="H25" s="1761"/>
      <c r="I25" s="1761"/>
      <c r="J25" s="1761"/>
      <c r="K25" s="1761"/>
      <c r="L25" s="1761"/>
      <c r="M25" s="1761"/>
      <c r="N25" s="1761"/>
      <c r="O25" s="1761"/>
      <c r="P25" s="1761"/>
      <c r="Q25" s="1761"/>
      <c r="R25" s="1761"/>
      <c r="S25" s="1761"/>
      <c r="T25" s="1761"/>
      <c r="U25" s="1761"/>
      <c r="V25" s="1761"/>
      <c r="W25" s="1761"/>
      <c r="X25" s="1761"/>
      <c r="Y25" s="1761"/>
      <c r="Z25" s="1761"/>
      <c r="AA25" s="1761"/>
      <c r="AB25" s="1761"/>
      <c r="AC25" s="1761"/>
      <c r="AD25" s="1761"/>
      <c r="AE25" s="1761"/>
      <c r="AF25" s="1761"/>
      <c r="AG25" s="1761"/>
      <c r="AH25" s="1761"/>
      <c r="AI25" s="1761"/>
      <c r="AJ25" s="1761"/>
      <c r="AK25" s="1761"/>
      <c r="AL25" s="326"/>
    </row>
    <row r="26" spans="1:38" s="718" customFormat="1">
      <c r="A26" s="328"/>
      <c r="B26" s="326"/>
      <c r="C26" s="327"/>
      <c r="D26" s="1761"/>
      <c r="E26" s="1761"/>
      <c r="F26" s="1761"/>
      <c r="G26" s="1761"/>
      <c r="H26" s="1761"/>
      <c r="I26" s="1761"/>
      <c r="J26" s="1761"/>
      <c r="K26" s="1761"/>
      <c r="L26" s="1761"/>
      <c r="M26" s="1761"/>
      <c r="N26" s="1761"/>
      <c r="O26" s="1761"/>
      <c r="P26" s="1761"/>
      <c r="Q26" s="1761"/>
      <c r="R26" s="1761"/>
      <c r="S26" s="1761"/>
      <c r="T26" s="1761"/>
      <c r="U26" s="1761"/>
      <c r="V26" s="1761"/>
      <c r="W26" s="1761"/>
      <c r="X26" s="1761"/>
      <c r="Y26" s="1761"/>
      <c r="Z26" s="1761"/>
      <c r="AA26" s="1761"/>
      <c r="AB26" s="1761"/>
      <c r="AC26" s="1761"/>
      <c r="AD26" s="1761"/>
      <c r="AE26" s="1761"/>
      <c r="AF26" s="1761"/>
      <c r="AG26" s="1761"/>
      <c r="AH26" s="1761"/>
      <c r="AI26" s="1761"/>
      <c r="AJ26" s="1761"/>
      <c r="AK26" s="1761"/>
      <c r="AL26" s="326"/>
    </row>
    <row r="27" spans="1:38" s="718" customFormat="1" ht="11.85" customHeight="1">
      <c r="A27" s="328"/>
      <c r="B27" s="326"/>
      <c r="C27" s="327"/>
      <c r="D27" s="1761"/>
      <c r="E27" s="1761"/>
      <c r="F27" s="1761"/>
      <c r="G27" s="1761"/>
      <c r="H27" s="1761"/>
      <c r="I27" s="1761"/>
      <c r="J27" s="1761"/>
      <c r="K27" s="1761"/>
      <c r="L27" s="1761"/>
      <c r="M27" s="1761"/>
      <c r="N27" s="1761"/>
      <c r="O27" s="1761"/>
      <c r="P27" s="1761"/>
      <c r="Q27" s="1761"/>
      <c r="R27" s="1761"/>
      <c r="S27" s="1761"/>
      <c r="T27" s="1761"/>
      <c r="U27" s="1761"/>
      <c r="V27" s="1761"/>
      <c r="W27" s="1761"/>
      <c r="X27" s="1761"/>
      <c r="Y27" s="1761"/>
      <c r="Z27" s="1761"/>
      <c r="AA27" s="1761"/>
      <c r="AB27" s="1761"/>
      <c r="AC27" s="1761"/>
      <c r="AD27" s="1761"/>
      <c r="AE27" s="1761"/>
      <c r="AF27" s="1761"/>
      <c r="AG27" s="1761"/>
      <c r="AH27" s="1761"/>
      <c r="AI27" s="1761"/>
      <c r="AJ27" s="1761"/>
      <c r="AK27" s="1761"/>
      <c r="AL27" s="326"/>
    </row>
    <row r="28" spans="1:38" s="718" customFormat="1" ht="13.15" customHeight="1">
      <c r="A28" s="328"/>
      <c r="B28" s="326"/>
      <c r="C28" s="327"/>
      <c r="E28" s="1761" t="s">
        <v>2189</v>
      </c>
      <c r="F28" s="1761"/>
      <c r="G28" s="1761"/>
      <c r="H28" s="1761"/>
      <c r="I28" s="1761"/>
      <c r="J28" s="1761"/>
      <c r="K28" s="1761"/>
      <c r="L28" s="1761"/>
      <c r="M28" s="1761"/>
      <c r="N28" s="1761"/>
      <c r="O28" s="1761"/>
      <c r="P28" s="1761"/>
      <c r="Q28" s="1761"/>
      <c r="R28" s="1761"/>
      <c r="S28" s="1761"/>
      <c r="T28" s="1761"/>
      <c r="U28" s="1761"/>
      <c r="V28" s="1761"/>
      <c r="W28" s="1761"/>
      <c r="X28" s="1761"/>
      <c r="Y28" s="1761"/>
      <c r="Z28" s="1761"/>
      <c r="AA28" s="1761"/>
      <c r="AB28" s="1761"/>
      <c r="AC28" s="1761"/>
      <c r="AD28" s="1761"/>
      <c r="AE28" s="1761"/>
      <c r="AF28" s="1761"/>
      <c r="AG28" s="1761"/>
      <c r="AH28" s="1761"/>
      <c r="AI28" s="1761"/>
      <c r="AJ28" s="1761"/>
      <c r="AK28" s="1761"/>
      <c r="AL28" s="326"/>
    </row>
    <row r="29" spans="1:38" s="718" customFormat="1" ht="13.15" customHeight="1">
      <c r="A29" s="328"/>
      <c r="B29" s="326"/>
      <c r="C29" s="327"/>
      <c r="E29" s="1761"/>
      <c r="F29" s="1761"/>
      <c r="G29" s="1761"/>
      <c r="H29" s="1761"/>
      <c r="I29" s="1761"/>
      <c r="J29" s="1761"/>
      <c r="K29" s="1761"/>
      <c r="L29" s="1761"/>
      <c r="M29" s="1761"/>
      <c r="N29" s="1761"/>
      <c r="O29" s="1761"/>
      <c r="P29" s="1761"/>
      <c r="Q29" s="1761"/>
      <c r="R29" s="1761"/>
      <c r="S29" s="1761"/>
      <c r="T29" s="1761"/>
      <c r="U29" s="1761"/>
      <c r="V29" s="1761"/>
      <c r="W29" s="1761"/>
      <c r="X29" s="1761"/>
      <c r="Y29" s="1761"/>
      <c r="Z29" s="1761"/>
      <c r="AA29" s="1761"/>
      <c r="AB29" s="1761"/>
      <c r="AC29" s="1761"/>
      <c r="AD29" s="1761"/>
      <c r="AE29" s="1761"/>
      <c r="AF29" s="1761"/>
      <c r="AG29" s="1761"/>
      <c r="AH29" s="1761"/>
      <c r="AI29" s="1761"/>
      <c r="AJ29" s="1761"/>
      <c r="AK29" s="1761"/>
      <c r="AL29" s="326"/>
    </row>
    <row r="30" spans="1:38" s="718" customFormat="1">
      <c r="A30" s="328"/>
      <c r="B30" s="326"/>
      <c r="C30" s="327"/>
      <c r="D30" s="747"/>
      <c r="E30" s="1761"/>
      <c r="F30" s="1761"/>
      <c r="G30" s="1761"/>
      <c r="H30" s="1761"/>
      <c r="I30" s="1761"/>
      <c r="J30" s="1761"/>
      <c r="K30" s="1761"/>
      <c r="L30" s="1761"/>
      <c r="M30" s="1761"/>
      <c r="N30" s="1761"/>
      <c r="O30" s="1761"/>
      <c r="P30" s="1761"/>
      <c r="Q30" s="1761"/>
      <c r="R30" s="1761"/>
      <c r="S30" s="1761"/>
      <c r="T30" s="1761"/>
      <c r="U30" s="1761"/>
      <c r="V30" s="1761"/>
      <c r="W30" s="1761"/>
      <c r="X30" s="1761"/>
      <c r="Y30" s="1761"/>
      <c r="Z30" s="1761"/>
      <c r="AA30" s="1761"/>
      <c r="AB30" s="1761"/>
      <c r="AC30" s="1761"/>
      <c r="AD30" s="1761"/>
      <c r="AE30" s="1761"/>
      <c r="AF30" s="1761"/>
      <c r="AG30" s="1761"/>
      <c r="AH30" s="1761"/>
      <c r="AI30" s="1761"/>
      <c r="AJ30" s="1761"/>
      <c r="AK30" s="1761"/>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762" t="s">
        <v>1403</v>
      </c>
      <c r="E32" s="1762"/>
      <c r="F32" s="1762"/>
      <c r="G32" s="1762"/>
      <c r="H32" s="1762"/>
      <c r="I32" s="1762"/>
      <c r="J32" s="1762"/>
      <c r="K32" s="1762"/>
      <c r="L32" s="1762"/>
      <c r="M32" s="1762"/>
      <c r="N32" s="1762"/>
      <c r="O32" s="1762"/>
      <c r="P32" s="1762"/>
      <c r="Q32" s="1762"/>
      <c r="R32" s="1762"/>
      <c r="S32" s="1762"/>
      <c r="T32" s="1762"/>
      <c r="U32" s="1762"/>
      <c r="V32" s="1762"/>
      <c r="W32" s="1762"/>
      <c r="X32" s="1762"/>
      <c r="Y32" s="1762"/>
      <c r="Z32" s="1762"/>
      <c r="AA32" s="1762"/>
      <c r="AB32" s="1762"/>
      <c r="AC32" s="1762"/>
      <c r="AD32" s="1762"/>
      <c r="AE32" s="1762"/>
      <c r="AF32" s="1762"/>
      <c r="AG32" s="1762"/>
      <c r="AH32" s="1762"/>
      <c r="AI32" s="1762"/>
      <c r="AJ32" s="1762"/>
      <c r="AK32" s="1762"/>
      <c r="AL32" s="326"/>
    </row>
    <row r="33" spans="1:38" s="718" customFormat="1">
      <c r="A33" s="328"/>
      <c r="B33" s="326"/>
      <c r="C33" s="327"/>
      <c r="D33" s="747"/>
      <c r="E33" s="1768" t="s">
        <v>1462</v>
      </c>
      <c r="F33" s="1768"/>
      <c r="G33" s="1768"/>
      <c r="H33" s="1768"/>
      <c r="I33" s="1768"/>
      <c r="J33" s="1768"/>
      <c r="K33" s="1768"/>
      <c r="L33" s="1768"/>
      <c r="M33" s="1768"/>
      <c r="N33" s="1768"/>
      <c r="O33" s="1768"/>
      <c r="P33" s="1768"/>
      <c r="Q33" s="1768"/>
      <c r="R33" s="1768"/>
      <c r="S33" s="1768"/>
      <c r="T33" s="1768"/>
      <c r="U33" s="1768"/>
      <c r="V33" s="1768"/>
      <c r="W33" s="1768"/>
      <c r="X33" s="1768"/>
      <c r="Y33" s="1768"/>
      <c r="Z33" s="1768"/>
      <c r="AA33" s="1768"/>
      <c r="AB33" s="1768"/>
      <c r="AC33" s="1768"/>
      <c r="AD33" s="1768"/>
      <c r="AE33" s="1768"/>
      <c r="AF33" s="1768"/>
      <c r="AG33" s="1768"/>
      <c r="AH33" s="1768"/>
      <c r="AI33" s="1768"/>
      <c r="AJ33" s="1768"/>
      <c r="AK33" s="1768"/>
      <c r="AL33" s="326"/>
    </row>
    <row r="34" spans="1:38">
      <c r="A34" s="149"/>
      <c r="C34" s="5"/>
    </row>
    <row r="35" spans="1:38">
      <c r="A35" s="149"/>
      <c r="D35" s="1760" t="s">
        <v>1390</v>
      </c>
      <c r="E35" s="1760"/>
      <c r="F35" s="1760"/>
      <c r="G35" s="1760"/>
      <c r="H35" s="1760"/>
      <c r="I35" s="1760"/>
      <c r="J35" s="1760"/>
      <c r="K35" s="1760"/>
      <c r="L35" s="1760"/>
      <c r="M35" s="1760"/>
      <c r="N35" s="1760"/>
      <c r="O35" s="1760"/>
      <c r="P35" s="1760"/>
      <c r="Q35" s="1760"/>
      <c r="R35" s="1760"/>
      <c r="S35" s="1760"/>
      <c r="T35" s="1760"/>
      <c r="U35" s="1760"/>
      <c r="V35" s="1760"/>
      <c r="W35" s="1760"/>
      <c r="X35" s="1760"/>
      <c r="Y35" s="1760"/>
      <c r="Z35" s="1760"/>
      <c r="AA35" s="1760"/>
      <c r="AB35" s="1760"/>
      <c r="AC35" s="1760"/>
      <c r="AD35" s="1760"/>
      <c r="AE35" s="1760"/>
      <c r="AF35" s="1760"/>
      <c r="AG35" s="1760"/>
      <c r="AH35" s="1760"/>
      <c r="AI35" s="1760"/>
      <c r="AJ35" s="1760"/>
      <c r="AK35" s="1760"/>
    </row>
    <row r="36" spans="1:38">
      <c r="A36" s="149"/>
      <c r="D36" s="1760"/>
      <c r="E36" s="1760"/>
      <c r="F36" s="1760"/>
      <c r="G36" s="1760"/>
      <c r="H36" s="1760"/>
      <c r="I36" s="1760"/>
      <c r="J36" s="1760"/>
      <c r="K36" s="1760"/>
      <c r="L36" s="1760"/>
      <c r="M36" s="1760"/>
      <c r="N36" s="1760"/>
      <c r="O36" s="1760"/>
      <c r="P36" s="1760"/>
      <c r="Q36" s="1760"/>
      <c r="R36" s="1760"/>
      <c r="S36" s="1760"/>
      <c r="T36" s="1760"/>
      <c r="U36" s="1760"/>
      <c r="V36" s="1760"/>
      <c r="W36" s="1760"/>
      <c r="X36" s="1760"/>
      <c r="Y36" s="1760"/>
      <c r="Z36" s="1760"/>
      <c r="AA36" s="1760"/>
      <c r="AB36" s="1760"/>
      <c r="AC36" s="1760"/>
      <c r="AD36" s="1760"/>
      <c r="AE36" s="1760"/>
      <c r="AF36" s="1760"/>
      <c r="AG36" s="1760"/>
      <c r="AH36" s="1760"/>
      <c r="AI36" s="1760"/>
      <c r="AJ36" s="1760"/>
      <c r="AK36" s="1760"/>
    </row>
    <row r="37" spans="1:38">
      <c r="A37" s="149"/>
      <c r="D37" s="250"/>
      <c r="E37" s="1767" t="s">
        <v>1098</v>
      </c>
      <c r="F37" s="1767"/>
      <c r="G37" s="1767"/>
      <c r="H37" s="1767"/>
      <c r="I37" s="1767"/>
      <c r="J37" s="1767"/>
      <c r="K37" s="1767"/>
      <c r="L37" s="1767"/>
      <c r="M37" s="1767"/>
      <c r="N37" s="1767"/>
      <c r="O37" s="1767"/>
      <c r="P37" s="1767"/>
      <c r="Q37" s="1767"/>
      <c r="R37" s="1767"/>
      <c r="S37" s="1767"/>
      <c r="T37" s="1767"/>
      <c r="U37" s="1767"/>
      <c r="V37" s="1767"/>
      <c r="W37" s="1767"/>
      <c r="X37" s="1767"/>
      <c r="Y37" s="1767"/>
      <c r="Z37" s="1767"/>
      <c r="AA37" s="1767"/>
      <c r="AB37" s="1767"/>
      <c r="AC37" s="1767"/>
      <c r="AD37" s="1767"/>
      <c r="AE37" s="1767"/>
      <c r="AF37" s="1767"/>
      <c r="AG37" s="1767"/>
      <c r="AH37" s="1767"/>
      <c r="AI37" s="1767"/>
      <c r="AJ37" s="1767"/>
      <c r="AK37" s="1767"/>
    </row>
    <row r="38" spans="1:38">
      <c r="A38" s="149"/>
      <c r="D38" s="250"/>
      <c r="E38" s="1767" t="s">
        <v>1401</v>
      </c>
      <c r="F38" s="1767"/>
      <c r="G38" s="1767"/>
      <c r="H38" s="1767"/>
      <c r="I38" s="1767"/>
      <c r="J38" s="1767"/>
      <c r="K38" s="1767"/>
      <c r="L38" s="1767"/>
      <c r="M38" s="1767"/>
      <c r="N38" s="1767"/>
      <c r="O38" s="1767"/>
      <c r="P38" s="1767"/>
      <c r="Q38" s="1767"/>
      <c r="R38" s="1767"/>
      <c r="S38" s="1767"/>
      <c r="T38" s="1767"/>
      <c r="U38" s="1767"/>
      <c r="V38" s="1767"/>
      <c r="W38" s="1767"/>
      <c r="X38" s="1767"/>
      <c r="Y38" s="1767"/>
      <c r="Z38" s="1767"/>
      <c r="AA38" s="1767"/>
      <c r="AB38" s="1767"/>
      <c r="AC38" s="1767"/>
      <c r="AD38" s="1767"/>
      <c r="AE38" s="1767"/>
      <c r="AF38" s="1767"/>
      <c r="AG38" s="1767"/>
      <c r="AH38" s="1767"/>
      <c r="AI38" s="1767"/>
      <c r="AJ38" s="1767"/>
      <c r="AK38" s="176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761" customFormat="1" ht="13.15" customHeight="1">
      <c r="A42" s="149"/>
      <c r="B42"/>
      <c r="C42" s="5"/>
      <c r="D42" s="149"/>
      <c r="E42" s="149" t="s">
        <v>692</v>
      </c>
      <c r="F42" s="1761" t="s">
        <v>1364</v>
      </c>
    </row>
    <row r="43" spans="1:38" s="1761" customFormat="1" ht="13.1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772" t="s">
        <v>1484</v>
      </c>
      <c r="G45" s="1772"/>
      <c r="H45" s="1772"/>
      <c r="I45" s="1772"/>
      <c r="J45" s="1772"/>
      <c r="K45" s="1772"/>
      <c r="L45" s="1772"/>
      <c r="M45" s="1772"/>
      <c r="N45" s="1772"/>
      <c r="O45" s="1772"/>
      <c r="P45" s="1772"/>
      <c r="Q45" s="1772"/>
      <c r="R45" s="1772"/>
      <c r="S45" s="1772"/>
      <c r="T45" s="1772"/>
      <c r="U45" s="1772"/>
      <c r="V45" s="1772"/>
      <c r="W45" s="1772"/>
      <c r="X45" s="1772"/>
      <c r="Y45" s="1772"/>
      <c r="Z45" s="1772"/>
      <c r="AA45" s="1772"/>
      <c r="AB45" s="1772"/>
      <c r="AC45" s="1772"/>
      <c r="AD45" s="1772"/>
      <c r="AE45" s="1772"/>
      <c r="AF45" s="1772"/>
      <c r="AG45" s="1772"/>
      <c r="AH45" s="1772"/>
      <c r="AI45" s="1772"/>
      <c r="AJ45" s="1772"/>
      <c r="AK45" s="1772"/>
      <c r="AL45" s="1772"/>
    </row>
    <row r="46" spans="1:38" s="771" customFormat="1">
      <c r="A46" s="149"/>
      <c r="B46" s="718"/>
      <c r="C46" s="5"/>
      <c r="D46" s="149"/>
      <c r="E46" s="149"/>
      <c r="F46" s="1772"/>
      <c r="G46" s="1772"/>
      <c r="H46" s="1772"/>
      <c r="I46" s="1772"/>
      <c r="J46" s="1772"/>
      <c r="K46" s="1772"/>
      <c r="L46" s="1772"/>
      <c r="M46" s="1772"/>
      <c r="N46" s="1772"/>
      <c r="O46" s="1772"/>
      <c r="P46" s="1772"/>
      <c r="Q46" s="1772"/>
      <c r="R46" s="1772"/>
      <c r="S46" s="1772"/>
      <c r="T46" s="1772"/>
      <c r="U46" s="1772"/>
      <c r="V46" s="1772"/>
      <c r="W46" s="1772"/>
      <c r="X46" s="1772"/>
      <c r="Y46" s="1772"/>
      <c r="Z46" s="1772"/>
      <c r="AA46" s="1772"/>
      <c r="AB46" s="1772"/>
      <c r="AC46" s="1772"/>
      <c r="AD46" s="1772"/>
      <c r="AE46" s="1772"/>
      <c r="AF46" s="1772"/>
      <c r="AG46" s="1772"/>
      <c r="AH46" s="1772"/>
      <c r="AI46" s="1772"/>
      <c r="AJ46" s="1772"/>
      <c r="AK46" s="1772"/>
      <c r="AL46" s="1772"/>
    </row>
    <row r="47" spans="1:38" s="771" customFormat="1" ht="13.15" customHeight="1">
      <c r="A47" s="149"/>
      <c r="B47" s="718"/>
      <c r="C47" s="5"/>
      <c r="D47" s="149"/>
      <c r="E47" s="149"/>
      <c r="F47" s="1772"/>
      <c r="G47" s="1772"/>
      <c r="H47" s="1772"/>
      <c r="I47" s="1772"/>
      <c r="J47" s="1772"/>
      <c r="K47" s="1772"/>
      <c r="L47" s="1772"/>
      <c r="M47" s="1772"/>
      <c r="N47" s="1772"/>
      <c r="O47" s="1772"/>
      <c r="P47" s="1772"/>
      <c r="Q47" s="1772"/>
      <c r="R47" s="1772"/>
      <c r="S47" s="1772"/>
      <c r="T47" s="1772"/>
      <c r="U47" s="1772"/>
      <c r="V47" s="1772"/>
      <c r="W47" s="1772"/>
      <c r="X47" s="1772"/>
      <c r="Y47" s="1772"/>
      <c r="Z47" s="1772"/>
      <c r="AA47" s="1772"/>
      <c r="AB47" s="1772"/>
      <c r="AC47" s="1772"/>
      <c r="AD47" s="1772"/>
      <c r="AE47" s="1772"/>
      <c r="AF47" s="1772"/>
      <c r="AG47" s="1772"/>
      <c r="AH47" s="1772"/>
      <c r="AI47" s="1772"/>
      <c r="AJ47" s="1772"/>
      <c r="AK47" s="1772"/>
      <c r="AL47" s="1772"/>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761" t="s">
        <v>1485</v>
      </c>
      <c r="G50" s="1761"/>
      <c r="H50" s="1761"/>
      <c r="I50" s="1761"/>
      <c r="J50" s="1761"/>
      <c r="K50" s="1761"/>
      <c r="L50" s="1761"/>
      <c r="M50" s="1761"/>
      <c r="N50" s="1761"/>
      <c r="O50" s="1761"/>
      <c r="P50" s="1761"/>
      <c r="Q50" s="1761"/>
      <c r="R50" s="1761"/>
      <c r="S50" s="1761"/>
      <c r="T50" s="1761"/>
      <c r="U50" s="1761"/>
      <c r="V50" s="1761"/>
      <c r="W50" s="1761"/>
      <c r="X50" s="1761"/>
      <c r="Y50" s="1761"/>
      <c r="Z50" s="1761"/>
      <c r="AA50" s="1761"/>
      <c r="AB50" s="1761"/>
      <c r="AC50" s="1761"/>
      <c r="AD50" s="1761"/>
      <c r="AE50" s="1761"/>
      <c r="AF50" s="1761"/>
      <c r="AG50" s="1761"/>
      <c r="AH50" s="1761"/>
      <c r="AI50" s="1761"/>
      <c r="AJ50" s="1761"/>
      <c r="AK50" s="1761"/>
    </row>
    <row r="51" spans="1:38">
      <c r="A51" s="149"/>
      <c r="C51" s="5"/>
      <c r="D51" s="149"/>
      <c r="E51" s="149"/>
      <c r="F51" s="1761"/>
      <c r="G51" s="1761"/>
      <c r="H51" s="1761"/>
      <c r="I51" s="1761"/>
      <c r="J51" s="1761"/>
      <c r="K51" s="1761"/>
      <c r="L51" s="1761"/>
      <c r="M51" s="1761"/>
      <c r="N51" s="1761"/>
      <c r="O51" s="1761"/>
      <c r="P51" s="1761"/>
      <c r="Q51" s="1761"/>
      <c r="R51" s="1761"/>
      <c r="S51" s="1761"/>
      <c r="T51" s="1761"/>
      <c r="U51" s="1761"/>
      <c r="V51" s="1761"/>
      <c r="W51" s="1761"/>
      <c r="X51" s="1761"/>
      <c r="Y51" s="1761"/>
      <c r="Z51" s="1761"/>
      <c r="AA51" s="1761"/>
      <c r="AB51" s="1761"/>
      <c r="AC51" s="1761"/>
      <c r="AD51" s="1761"/>
      <c r="AE51" s="1761"/>
      <c r="AF51" s="1761"/>
      <c r="AG51" s="1761"/>
      <c r="AH51" s="1761"/>
      <c r="AI51" s="1761"/>
      <c r="AJ51" s="1761"/>
      <c r="AK51" s="1761"/>
    </row>
    <row r="52" spans="1:38">
      <c r="A52" s="149"/>
      <c r="C52" s="5"/>
      <c r="D52" s="149"/>
      <c r="F52" s="1761"/>
      <c r="G52" s="1761"/>
      <c r="H52" s="1761"/>
      <c r="I52" s="1761"/>
      <c r="J52" s="1761"/>
      <c r="K52" s="1761"/>
      <c r="L52" s="1761"/>
      <c r="M52" s="1761"/>
      <c r="N52" s="1761"/>
      <c r="O52" s="1761"/>
      <c r="P52" s="1761"/>
      <c r="Q52" s="1761"/>
      <c r="R52" s="1761"/>
      <c r="S52" s="1761"/>
      <c r="T52" s="1761"/>
      <c r="U52" s="1761"/>
      <c r="V52" s="1761"/>
      <c r="W52" s="1761"/>
      <c r="X52" s="1761"/>
      <c r="Y52" s="1761"/>
      <c r="Z52" s="1761"/>
      <c r="AA52" s="1761"/>
      <c r="AB52" s="1761"/>
      <c r="AC52" s="1761"/>
      <c r="AD52" s="1761"/>
      <c r="AE52" s="1761"/>
      <c r="AF52" s="1761"/>
      <c r="AG52" s="1761"/>
      <c r="AH52" s="1761"/>
      <c r="AI52" s="1761"/>
      <c r="AJ52" s="1761"/>
      <c r="AK52" s="176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763" t="s">
        <v>1404</v>
      </c>
      <c r="H56" s="1763"/>
      <c r="I56" s="1763"/>
      <c r="J56" s="1763"/>
      <c r="K56" s="1763"/>
      <c r="L56" s="1763"/>
      <c r="M56" s="1763"/>
      <c r="N56" s="1763"/>
      <c r="O56" s="1763"/>
      <c r="P56" s="1763"/>
      <c r="Q56" s="1763"/>
      <c r="R56" s="1763"/>
      <c r="S56" s="1763"/>
      <c r="T56" s="1763"/>
      <c r="U56" s="1763"/>
      <c r="V56" s="1763"/>
      <c r="W56" s="1763"/>
      <c r="X56" s="1763"/>
      <c r="Y56" s="1763"/>
      <c r="Z56" s="1763"/>
      <c r="AA56" s="1763"/>
      <c r="AB56" s="1763"/>
      <c r="AC56" s="1763"/>
      <c r="AD56" s="1763"/>
      <c r="AE56" s="1763"/>
      <c r="AF56" s="1763"/>
      <c r="AG56" s="1763"/>
      <c r="AH56" s="1763"/>
      <c r="AI56" s="1763"/>
      <c r="AJ56" s="1763"/>
      <c r="AK56" s="1763"/>
      <c r="AL56" s="326"/>
    </row>
    <row r="57" spans="1:38" s="718" customFormat="1" ht="13.1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763" t="s">
        <v>612</v>
      </c>
      <c r="H58" s="1763"/>
      <c r="I58" s="176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771" t="s">
        <v>1486</v>
      </c>
      <c r="H59" s="1771"/>
      <c r="I59" s="1771"/>
      <c r="J59" s="1771"/>
      <c r="K59" s="1771"/>
      <c r="L59" s="1771"/>
      <c r="M59" s="1771"/>
      <c r="N59" s="1771"/>
      <c r="O59" s="1771"/>
      <c r="P59" s="1771"/>
      <c r="Q59" s="1771"/>
      <c r="R59" s="1771"/>
      <c r="S59" s="1771"/>
      <c r="T59" s="1771"/>
      <c r="U59" s="1771"/>
      <c r="V59" s="1771"/>
      <c r="W59" s="1771"/>
      <c r="X59" s="1771"/>
      <c r="Y59" s="1771"/>
      <c r="Z59" s="1771"/>
      <c r="AA59" s="1771"/>
      <c r="AB59" s="1771"/>
      <c r="AC59" s="1771"/>
      <c r="AD59" s="1771"/>
      <c r="AE59" s="1771"/>
      <c r="AF59" s="1771"/>
      <c r="AG59" s="1771"/>
      <c r="AH59" s="1771"/>
      <c r="AI59" s="1771"/>
      <c r="AJ59" s="1771"/>
      <c r="AK59" s="1771"/>
      <c r="AL59" s="1771"/>
    </row>
    <row r="60" spans="1:38" s="2" customFormat="1">
      <c r="A60" s="328"/>
      <c r="B60" s="326"/>
      <c r="C60" s="327"/>
      <c r="D60" s="327"/>
      <c r="E60" s="328"/>
      <c r="F60" s="332"/>
      <c r="G60" s="1771"/>
      <c r="H60" s="1771"/>
      <c r="I60" s="1771"/>
      <c r="J60" s="1771"/>
      <c r="K60" s="1771"/>
      <c r="L60" s="1771"/>
      <c r="M60" s="1771"/>
      <c r="N60" s="1771"/>
      <c r="O60" s="1771"/>
      <c r="P60" s="1771"/>
      <c r="Q60" s="1771"/>
      <c r="R60" s="1771"/>
      <c r="S60" s="1771"/>
      <c r="T60" s="1771"/>
      <c r="U60" s="1771"/>
      <c r="V60" s="1771"/>
      <c r="W60" s="1771"/>
      <c r="X60" s="1771"/>
      <c r="Y60" s="1771"/>
      <c r="Z60" s="1771"/>
      <c r="AA60" s="1771"/>
      <c r="AB60" s="1771"/>
      <c r="AC60" s="1771"/>
      <c r="AD60" s="1771"/>
      <c r="AE60" s="1771"/>
      <c r="AF60" s="1771"/>
      <c r="AG60" s="1771"/>
      <c r="AH60" s="1771"/>
      <c r="AI60" s="1771"/>
      <c r="AJ60" s="1771"/>
      <c r="AK60" s="1771"/>
      <c r="AL60" s="1771"/>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761" t="s">
        <v>1366</v>
      </c>
      <c r="H66" s="1761"/>
      <c r="I66" s="1761"/>
      <c r="J66" s="1761"/>
      <c r="K66" s="1761"/>
      <c r="L66" s="1761"/>
      <c r="M66" s="1761"/>
      <c r="N66" s="1761"/>
      <c r="O66" s="1761"/>
      <c r="P66" s="1761"/>
      <c r="Q66" s="1761"/>
      <c r="R66" s="1761"/>
      <c r="S66" s="1761"/>
      <c r="T66" s="1761"/>
      <c r="U66" s="1761"/>
      <c r="V66" s="1761"/>
      <c r="W66" s="1761"/>
      <c r="X66" s="1761"/>
      <c r="Y66" s="1761"/>
      <c r="Z66" s="1761"/>
      <c r="AA66" s="1761"/>
      <c r="AB66" s="1761"/>
      <c r="AC66" s="1761"/>
      <c r="AD66" s="1761"/>
      <c r="AE66" s="1761"/>
      <c r="AF66" s="1761"/>
      <c r="AG66" s="1761"/>
      <c r="AH66" s="1761"/>
      <c r="AI66" s="1761"/>
      <c r="AJ66" s="1761"/>
      <c r="AK66" s="1761"/>
    </row>
    <row r="67" spans="1:37">
      <c r="A67" s="149"/>
      <c r="C67" s="5"/>
      <c r="D67" s="149"/>
      <c r="E67" s="149"/>
      <c r="F67" s="9"/>
      <c r="G67" s="1761"/>
      <c r="H67" s="1761"/>
      <c r="I67" s="1761"/>
      <c r="J67" s="1761"/>
      <c r="K67" s="1761"/>
      <c r="L67" s="1761"/>
      <c r="M67" s="1761"/>
      <c r="N67" s="1761"/>
      <c r="O67" s="1761"/>
      <c r="P67" s="1761"/>
      <c r="Q67" s="1761"/>
      <c r="R67" s="1761"/>
      <c r="S67" s="1761"/>
      <c r="T67" s="1761"/>
      <c r="U67" s="1761"/>
      <c r="V67" s="1761"/>
      <c r="W67" s="1761"/>
      <c r="X67" s="1761"/>
      <c r="Y67" s="1761"/>
      <c r="Z67" s="1761"/>
      <c r="AA67" s="1761"/>
      <c r="AB67" s="1761"/>
      <c r="AC67" s="1761"/>
      <c r="AD67" s="1761"/>
      <c r="AE67" s="1761"/>
      <c r="AF67" s="1761"/>
      <c r="AG67" s="1761"/>
      <c r="AH67" s="1761"/>
      <c r="AI67" s="1761"/>
      <c r="AJ67" s="1761"/>
      <c r="AK67" s="1761"/>
    </row>
    <row r="68" spans="1:37">
      <c r="A68" s="149"/>
      <c r="C68" s="5"/>
      <c r="D68" s="149"/>
      <c r="E68" s="149"/>
      <c r="F68" s="9"/>
      <c r="G68" s="1761"/>
      <c r="H68" s="1761"/>
      <c r="I68" s="1761"/>
      <c r="J68" s="1761"/>
      <c r="K68" s="1761"/>
      <c r="L68" s="1761"/>
      <c r="M68" s="1761"/>
      <c r="N68" s="1761"/>
      <c r="O68" s="1761"/>
      <c r="P68" s="1761"/>
      <c r="Q68" s="1761"/>
      <c r="R68" s="1761"/>
      <c r="S68" s="1761"/>
      <c r="T68" s="1761"/>
      <c r="U68" s="1761"/>
      <c r="V68" s="1761"/>
      <c r="W68" s="1761"/>
      <c r="X68" s="1761"/>
      <c r="Y68" s="1761"/>
      <c r="Z68" s="1761"/>
      <c r="AA68" s="1761"/>
      <c r="AB68" s="1761"/>
      <c r="AC68" s="1761"/>
      <c r="AD68" s="1761"/>
      <c r="AE68" s="1761"/>
      <c r="AF68" s="1761"/>
      <c r="AG68" s="1761"/>
      <c r="AH68" s="1761"/>
      <c r="AI68" s="1761"/>
      <c r="AJ68" s="1761"/>
      <c r="AK68" s="1761"/>
    </row>
    <row r="69" spans="1:37" ht="13.15" customHeight="1">
      <c r="A69" s="149"/>
      <c r="C69" s="5"/>
      <c r="D69" s="149"/>
      <c r="E69" s="149"/>
      <c r="F69" s="9" t="s">
        <v>544</v>
      </c>
      <c r="G69" s="1761" t="s">
        <v>1367</v>
      </c>
      <c r="H69" s="1761"/>
      <c r="I69" s="1761"/>
      <c r="J69" s="1761"/>
      <c r="K69" s="1761"/>
      <c r="L69" s="1761"/>
      <c r="M69" s="1761"/>
      <c r="N69" s="1761"/>
      <c r="O69" s="1761"/>
      <c r="P69" s="1761"/>
      <c r="Q69" s="1761"/>
      <c r="R69" s="1761"/>
      <c r="S69" s="1761"/>
      <c r="T69" s="1761"/>
      <c r="U69" s="1761"/>
      <c r="V69" s="1761"/>
      <c r="W69" s="1761"/>
      <c r="X69" s="1761"/>
      <c r="Y69" s="1761"/>
      <c r="Z69" s="1761"/>
      <c r="AA69" s="1761"/>
      <c r="AB69" s="1761"/>
      <c r="AC69" s="1761"/>
      <c r="AD69" s="1761"/>
      <c r="AE69" s="1761"/>
      <c r="AF69" s="1761"/>
      <c r="AG69" s="1761"/>
      <c r="AH69" s="1761"/>
      <c r="AI69" s="1761"/>
      <c r="AJ69" s="1761"/>
      <c r="AK69" s="1761"/>
    </row>
    <row r="70" spans="1:37">
      <c r="A70" s="149"/>
      <c r="C70" s="5"/>
      <c r="D70" s="149"/>
      <c r="E70" s="149"/>
      <c r="F70" s="380"/>
      <c r="G70" s="1761"/>
      <c r="H70" s="1761"/>
      <c r="I70" s="1761"/>
      <c r="J70" s="1761"/>
      <c r="K70" s="1761"/>
      <c r="L70" s="1761"/>
      <c r="M70" s="1761"/>
      <c r="N70" s="1761"/>
      <c r="O70" s="1761"/>
      <c r="P70" s="1761"/>
      <c r="Q70" s="1761"/>
      <c r="R70" s="1761"/>
      <c r="S70" s="1761"/>
      <c r="T70" s="1761"/>
      <c r="U70" s="1761"/>
      <c r="V70" s="1761"/>
      <c r="W70" s="1761"/>
      <c r="X70" s="1761"/>
      <c r="Y70" s="1761"/>
      <c r="Z70" s="1761"/>
      <c r="AA70" s="1761"/>
      <c r="AB70" s="1761"/>
      <c r="AC70" s="1761"/>
      <c r="AD70" s="1761"/>
      <c r="AE70" s="1761"/>
      <c r="AF70" s="1761"/>
      <c r="AG70" s="1761"/>
      <c r="AH70" s="1761"/>
      <c r="AI70" s="1761"/>
      <c r="AJ70" s="1761"/>
      <c r="AK70" s="1761"/>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761" t="s">
        <v>1368</v>
      </c>
      <c r="H72" s="1761"/>
      <c r="I72" s="1761"/>
      <c r="J72" s="1761"/>
      <c r="K72" s="1761"/>
      <c r="L72" s="1761"/>
      <c r="M72" s="1761"/>
      <c r="N72" s="1761"/>
      <c r="O72" s="1761"/>
      <c r="P72" s="1761"/>
      <c r="Q72" s="1761"/>
      <c r="R72" s="1761"/>
      <c r="S72" s="1761"/>
      <c r="T72" s="1761"/>
      <c r="U72" s="1761"/>
      <c r="V72" s="1761"/>
      <c r="W72" s="1761"/>
      <c r="X72" s="1761"/>
      <c r="Y72" s="1761"/>
      <c r="Z72" s="1761"/>
      <c r="AA72" s="1761"/>
      <c r="AB72" s="1761"/>
      <c r="AC72" s="1761"/>
      <c r="AD72" s="1761"/>
      <c r="AE72" s="1761"/>
      <c r="AF72" s="1761"/>
      <c r="AG72" s="1761"/>
      <c r="AH72" s="1761"/>
      <c r="AI72" s="1761"/>
      <c r="AJ72" s="1761"/>
      <c r="AK72" s="1761"/>
    </row>
    <row r="73" spans="1:37">
      <c r="A73" s="149"/>
      <c r="C73" s="5"/>
      <c r="D73" s="149"/>
      <c r="E73" s="149"/>
      <c r="F73" s="249"/>
      <c r="G73" s="1761"/>
      <c r="H73" s="1761"/>
      <c r="I73" s="1761"/>
      <c r="J73" s="1761"/>
      <c r="K73" s="1761"/>
      <c r="L73" s="1761"/>
      <c r="M73" s="1761"/>
      <c r="N73" s="1761"/>
      <c r="O73" s="1761"/>
      <c r="P73" s="1761"/>
      <c r="Q73" s="1761"/>
      <c r="R73" s="1761"/>
      <c r="S73" s="1761"/>
      <c r="T73" s="1761"/>
      <c r="U73" s="1761"/>
      <c r="V73" s="1761"/>
      <c r="W73" s="1761"/>
      <c r="X73" s="1761"/>
      <c r="Y73" s="1761"/>
      <c r="Z73" s="1761"/>
      <c r="AA73" s="1761"/>
      <c r="AB73" s="1761"/>
      <c r="AC73" s="1761"/>
      <c r="AD73" s="1761"/>
      <c r="AE73" s="1761"/>
      <c r="AF73" s="1761"/>
      <c r="AG73" s="1761"/>
      <c r="AH73" s="1761"/>
      <c r="AI73" s="1761"/>
      <c r="AJ73" s="1761"/>
      <c r="AK73" s="1761"/>
    </row>
    <row r="74" spans="1:37">
      <c r="A74" s="149"/>
      <c r="C74" s="5"/>
      <c r="D74" s="149"/>
      <c r="E74" s="149"/>
      <c r="F74" s="249" t="s">
        <v>544</v>
      </c>
      <c r="G74" s="1761" t="s">
        <v>1369</v>
      </c>
      <c r="H74" s="1761"/>
      <c r="I74" s="1761"/>
      <c r="J74" s="1761"/>
      <c r="K74" s="1761"/>
      <c r="L74" s="1761"/>
      <c r="M74" s="1761"/>
      <c r="N74" s="1761"/>
      <c r="O74" s="1761"/>
      <c r="P74" s="1761"/>
      <c r="Q74" s="1761"/>
      <c r="R74" s="1761"/>
      <c r="S74" s="1761"/>
      <c r="T74" s="1761"/>
      <c r="U74" s="1761"/>
      <c r="V74" s="1761"/>
      <c r="W74" s="1761"/>
      <c r="X74" s="1761"/>
      <c r="Y74" s="1761"/>
      <c r="Z74" s="1761"/>
      <c r="AA74" s="1761"/>
      <c r="AB74" s="1761"/>
      <c r="AC74" s="1761"/>
      <c r="AD74" s="1761"/>
      <c r="AE74" s="1761"/>
      <c r="AF74" s="1761"/>
      <c r="AG74" s="1761"/>
      <c r="AH74" s="1761"/>
      <c r="AI74" s="1761"/>
      <c r="AJ74" s="1761"/>
      <c r="AK74" s="1761"/>
    </row>
    <row r="75" spans="1:37">
      <c r="A75" s="149"/>
      <c r="C75" s="5"/>
      <c r="D75" s="149"/>
      <c r="E75" s="149"/>
      <c r="F75" s="249"/>
      <c r="G75" s="1761"/>
      <c r="H75" s="1761"/>
      <c r="I75" s="1761"/>
      <c r="J75" s="1761"/>
      <c r="K75" s="1761"/>
      <c r="L75" s="1761"/>
      <c r="M75" s="1761"/>
      <c r="N75" s="1761"/>
      <c r="O75" s="1761"/>
      <c r="P75" s="1761"/>
      <c r="Q75" s="1761"/>
      <c r="R75" s="1761"/>
      <c r="S75" s="1761"/>
      <c r="T75" s="1761"/>
      <c r="U75" s="1761"/>
      <c r="V75" s="1761"/>
      <c r="W75" s="1761"/>
      <c r="X75" s="1761"/>
      <c r="Y75" s="1761"/>
      <c r="Z75" s="1761"/>
      <c r="AA75" s="1761"/>
      <c r="AB75" s="1761"/>
      <c r="AC75" s="1761"/>
      <c r="AD75" s="1761"/>
      <c r="AE75" s="1761"/>
      <c r="AF75" s="1761"/>
      <c r="AG75" s="1761"/>
      <c r="AH75" s="1761"/>
      <c r="AI75" s="1761"/>
      <c r="AJ75" s="1761"/>
      <c r="AK75" s="1761"/>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761" t="s">
        <v>1370</v>
      </c>
      <c r="H82" s="1761"/>
      <c r="I82" s="1761"/>
      <c r="J82" s="1761"/>
      <c r="K82" s="1761"/>
      <c r="L82" s="1761"/>
      <c r="M82" s="1761"/>
      <c r="N82" s="1761"/>
      <c r="O82" s="1761"/>
      <c r="P82" s="1761"/>
      <c r="Q82" s="1761"/>
      <c r="R82" s="1761"/>
      <c r="S82" s="1761"/>
      <c r="T82" s="1761"/>
      <c r="U82" s="1761"/>
      <c r="V82" s="1761"/>
      <c r="W82" s="1761"/>
      <c r="X82" s="1761"/>
      <c r="Y82" s="1761"/>
      <c r="Z82" s="1761"/>
      <c r="AA82" s="1761"/>
      <c r="AB82" s="1761"/>
      <c r="AC82" s="1761"/>
      <c r="AD82" s="1761"/>
      <c r="AE82" s="1761"/>
      <c r="AF82" s="1761"/>
      <c r="AG82" s="1761"/>
      <c r="AH82" s="1761"/>
      <c r="AI82" s="1761"/>
      <c r="AJ82" s="1761"/>
      <c r="AK82" s="1761"/>
    </row>
    <row r="83" spans="1:37">
      <c r="A83" s="149"/>
      <c r="C83" s="5"/>
      <c r="D83" s="149"/>
      <c r="E83" s="149"/>
      <c r="F83" s="149"/>
      <c r="G83" s="1761"/>
      <c r="H83" s="1761"/>
      <c r="I83" s="1761"/>
      <c r="J83" s="1761"/>
      <c r="K83" s="1761"/>
      <c r="L83" s="1761"/>
      <c r="M83" s="1761"/>
      <c r="N83" s="1761"/>
      <c r="O83" s="1761"/>
      <c r="P83" s="1761"/>
      <c r="Q83" s="1761"/>
      <c r="R83" s="1761"/>
      <c r="S83" s="1761"/>
      <c r="T83" s="1761"/>
      <c r="U83" s="1761"/>
      <c r="V83" s="1761"/>
      <c r="W83" s="1761"/>
      <c r="X83" s="1761"/>
      <c r="Y83" s="1761"/>
      <c r="Z83" s="1761"/>
      <c r="AA83" s="1761"/>
      <c r="AB83" s="1761"/>
      <c r="AC83" s="1761"/>
      <c r="AD83" s="1761"/>
      <c r="AE83" s="1761"/>
      <c r="AF83" s="1761"/>
      <c r="AG83" s="1761"/>
      <c r="AH83" s="1761"/>
      <c r="AI83" s="1761"/>
      <c r="AJ83" s="1761"/>
      <c r="AK83" s="1761"/>
    </row>
    <row r="84" spans="1:37" s="718" customFormat="1">
      <c r="A84" s="149"/>
      <c r="C84" s="5"/>
      <c r="D84" s="149"/>
      <c r="E84" s="149"/>
      <c r="F84" s="149"/>
      <c r="G84" s="1761"/>
      <c r="H84" s="1761"/>
      <c r="I84" s="1761"/>
      <c r="J84" s="1761"/>
      <c r="K84" s="1761"/>
      <c r="L84" s="1761"/>
      <c r="M84" s="1761"/>
      <c r="N84" s="1761"/>
      <c r="O84" s="1761"/>
      <c r="P84" s="1761"/>
      <c r="Q84" s="1761"/>
      <c r="R84" s="1761"/>
      <c r="S84" s="1761"/>
      <c r="T84" s="1761"/>
      <c r="U84" s="1761"/>
      <c r="V84" s="1761"/>
      <c r="W84" s="1761"/>
      <c r="X84" s="1761"/>
      <c r="Y84" s="1761"/>
      <c r="Z84" s="1761"/>
      <c r="AA84" s="1761"/>
      <c r="AB84" s="1761"/>
      <c r="AC84" s="1761"/>
      <c r="AD84" s="1761"/>
      <c r="AE84" s="1761"/>
      <c r="AF84" s="1761"/>
      <c r="AG84" s="1761"/>
      <c r="AH84" s="1761"/>
      <c r="AI84" s="1761"/>
      <c r="AJ84" s="1761"/>
      <c r="AK84" s="1761"/>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761" t="s">
        <v>1371</v>
      </c>
      <c r="H86" s="1761"/>
      <c r="I86" s="1761"/>
      <c r="J86" s="1761"/>
      <c r="K86" s="1761"/>
      <c r="L86" s="1761"/>
      <c r="M86" s="1761"/>
      <c r="N86" s="1761"/>
      <c r="O86" s="1761"/>
      <c r="P86" s="1761"/>
      <c r="Q86" s="1761"/>
      <c r="R86" s="1761"/>
      <c r="S86" s="1761"/>
      <c r="T86" s="1761"/>
      <c r="U86" s="1761"/>
      <c r="V86" s="1761"/>
      <c r="W86" s="1761"/>
      <c r="X86" s="1761"/>
      <c r="Y86" s="1761"/>
      <c r="Z86" s="1761"/>
      <c r="AA86" s="1761"/>
      <c r="AB86" s="1761"/>
      <c r="AC86" s="1761"/>
      <c r="AD86" s="1761"/>
      <c r="AE86" s="1761"/>
      <c r="AF86" s="1761"/>
      <c r="AG86" s="1761"/>
      <c r="AH86" s="1761"/>
      <c r="AI86" s="1761"/>
      <c r="AJ86" s="1761"/>
      <c r="AK86" s="1761"/>
    </row>
    <row r="87" spans="1:37">
      <c r="A87" s="149"/>
      <c r="C87" s="5"/>
      <c r="D87" s="149"/>
      <c r="E87" s="149"/>
      <c r="F87" s="149"/>
      <c r="G87" s="1761"/>
      <c r="H87" s="1761"/>
      <c r="I87" s="1761"/>
      <c r="J87" s="1761"/>
      <c r="K87" s="1761"/>
      <c r="L87" s="1761"/>
      <c r="M87" s="1761"/>
      <c r="N87" s="1761"/>
      <c r="O87" s="1761"/>
      <c r="P87" s="1761"/>
      <c r="Q87" s="1761"/>
      <c r="R87" s="1761"/>
      <c r="S87" s="1761"/>
      <c r="T87" s="1761"/>
      <c r="U87" s="1761"/>
      <c r="V87" s="1761"/>
      <c r="W87" s="1761"/>
      <c r="X87" s="1761"/>
      <c r="Y87" s="1761"/>
      <c r="Z87" s="1761"/>
      <c r="AA87" s="1761"/>
      <c r="AB87" s="1761"/>
      <c r="AC87" s="1761"/>
      <c r="AD87" s="1761"/>
      <c r="AE87" s="1761"/>
      <c r="AF87" s="1761"/>
      <c r="AG87" s="1761"/>
      <c r="AH87" s="1761"/>
      <c r="AI87" s="1761"/>
      <c r="AJ87" s="1761"/>
      <c r="AK87" s="1761"/>
    </row>
    <row r="88" spans="1:37">
      <c r="A88" s="149"/>
      <c r="C88" s="5"/>
      <c r="D88" s="149"/>
      <c r="E88" s="149"/>
      <c r="G88" s="1761"/>
      <c r="H88" s="1761"/>
      <c r="I88" s="1761"/>
      <c r="J88" s="1761"/>
      <c r="K88" s="1761"/>
      <c r="L88" s="1761"/>
      <c r="M88" s="1761"/>
      <c r="N88" s="1761"/>
      <c r="O88" s="1761"/>
      <c r="P88" s="1761"/>
      <c r="Q88" s="1761"/>
      <c r="R88" s="1761"/>
      <c r="S88" s="1761"/>
      <c r="T88" s="1761"/>
      <c r="U88" s="1761"/>
      <c r="V88" s="1761"/>
      <c r="W88" s="1761"/>
      <c r="X88" s="1761"/>
      <c r="Y88" s="1761"/>
      <c r="Z88" s="1761"/>
      <c r="AA88" s="1761"/>
      <c r="AB88" s="1761"/>
      <c r="AC88" s="1761"/>
      <c r="AD88" s="1761"/>
      <c r="AE88" s="1761"/>
      <c r="AF88" s="1761"/>
      <c r="AG88" s="1761"/>
      <c r="AH88" s="1761"/>
      <c r="AI88" s="1761"/>
      <c r="AJ88" s="1761"/>
      <c r="AK88" s="1761"/>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769" t="s">
        <v>1372</v>
      </c>
      <c r="H90" s="1769"/>
      <c r="I90" s="1769"/>
      <c r="J90" s="1769"/>
      <c r="K90" s="1769"/>
      <c r="L90" s="1769"/>
      <c r="M90" s="1769"/>
      <c r="N90" s="1769"/>
      <c r="O90" s="1769"/>
      <c r="P90" s="1769"/>
      <c r="Q90" s="1769"/>
      <c r="R90" s="1769"/>
      <c r="S90" s="1769"/>
      <c r="T90" s="1769"/>
      <c r="U90" s="1769"/>
      <c r="V90" s="1769"/>
      <c r="W90" s="1769"/>
      <c r="X90" s="1769"/>
      <c r="Y90" s="1769"/>
      <c r="Z90" s="1769"/>
      <c r="AA90" s="1769"/>
      <c r="AB90" s="1769"/>
      <c r="AC90" s="1769"/>
      <c r="AD90" s="1769"/>
      <c r="AE90" s="1769"/>
      <c r="AF90" s="1769"/>
      <c r="AG90" s="1769"/>
      <c r="AH90" s="1769"/>
      <c r="AI90" s="1769"/>
      <c r="AJ90" s="1769"/>
      <c r="AK90" s="1769"/>
    </row>
    <row r="91" spans="1:37" s="718" customFormat="1">
      <c r="A91" s="149"/>
      <c r="C91" s="5"/>
      <c r="D91" s="149"/>
      <c r="E91" s="149"/>
      <c r="G91" s="1769"/>
      <c r="H91" s="1769"/>
      <c r="I91" s="1769"/>
      <c r="J91" s="1769"/>
      <c r="K91" s="1769"/>
      <c r="L91" s="1769"/>
      <c r="M91" s="1769"/>
      <c r="N91" s="1769"/>
      <c r="O91" s="1769"/>
      <c r="P91" s="1769"/>
      <c r="Q91" s="1769"/>
      <c r="R91" s="1769"/>
      <c r="S91" s="1769"/>
      <c r="T91" s="1769"/>
      <c r="U91" s="1769"/>
      <c r="V91" s="1769"/>
      <c r="W91" s="1769"/>
      <c r="X91" s="1769"/>
      <c r="Y91" s="1769"/>
      <c r="Z91" s="1769"/>
      <c r="AA91" s="1769"/>
      <c r="AB91" s="1769"/>
      <c r="AC91" s="1769"/>
      <c r="AD91" s="1769"/>
      <c r="AE91" s="1769"/>
      <c r="AF91" s="1769"/>
      <c r="AG91" s="1769"/>
      <c r="AH91" s="1769"/>
      <c r="AI91" s="1769"/>
      <c r="AJ91" s="1769"/>
      <c r="AK91" s="1769"/>
    </row>
    <row r="92" spans="1:37">
      <c r="A92" s="149"/>
      <c r="C92" s="5"/>
      <c r="D92" s="149"/>
      <c r="E92" s="149"/>
      <c r="G92" s="1769"/>
      <c r="H92" s="1769"/>
      <c r="I92" s="1769"/>
      <c r="J92" s="1769"/>
      <c r="K92" s="1769"/>
      <c r="L92" s="1769"/>
      <c r="M92" s="1769"/>
      <c r="N92" s="1769"/>
      <c r="O92" s="1769"/>
      <c r="P92" s="1769"/>
      <c r="Q92" s="1769"/>
      <c r="R92" s="1769"/>
      <c r="S92" s="1769"/>
      <c r="T92" s="1769"/>
      <c r="U92" s="1769"/>
      <c r="V92" s="1769"/>
      <c r="W92" s="1769"/>
      <c r="X92" s="1769"/>
      <c r="Y92" s="1769"/>
      <c r="Z92" s="1769"/>
      <c r="AA92" s="1769"/>
      <c r="AB92" s="1769"/>
      <c r="AC92" s="1769"/>
      <c r="AD92" s="1769"/>
      <c r="AE92" s="1769"/>
      <c r="AF92" s="1769"/>
      <c r="AG92" s="1769"/>
      <c r="AH92" s="1769"/>
      <c r="AI92" s="1769"/>
      <c r="AJ92" s="1769"/>
      <c r="AK92" s="1769"/>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761" t="s">
        <v>1373</v>
      </c>
      <c r="H94" s="1761"/>
      <c r="I94" s="1761"/>
      <c r="J94" s="1761"/>
      <c r="K94" s="1761"/>
      <c r="L94" s="1761"/>
      <c r="M94" s="1761"/>
      <c r="N94" s="1761"/>
      <c r="O94" s="1761"/>
      <c r="P94" s="1761"/>
      <c r="Q94" s="1761"/>
      <c r="R94" s="1761"/>
      <c r="S94" s="1761"/>
      <c r="T94" s="1761"/>
      <c r="U94" s="1761"/>
      <c r="V94" s="1761"/>
      <c r="W94" s="1761"/>
      <c r="X94" s="1761"/>
      <c r="Y94" s="1761"/>
      <c r="Z94" s="1761"/>
      <c r="AA94" s="1761"/>
      <c r="AB94" s="1761"/>
      <c r="AC94" s="1761"/>
      <c r="AD94" s="1761"/>
      <c r="AE94" s="1761"/>
      <c r="AF94" s="1761"/>
      <c r="AG94" s="1761"/>
      <c r="AH94" s="1761"/>
      <c r="AI94" s="1761"/>
      <c r="AJ94" s="1761"/>
      <c r="AK94" s="1761"/>
    </row>
    <row r="95" spans="1:37">
      <c r="A95" s="149"/>
      <c r="C95" s="5"/>
      <c r="D95" s="149"/>
      <c r="E95" s="149"/>
      <c r="G95" s="1761"/>
      <c r="H95" s="1761"/>
      <c r="I95" s="1761"/>
      <c r="J95" s="1761"/>
      <c r="K95" s="1761"/>
      <c r="L95" s="1761"/>
      <c r="M95" s="1761"/>
      <c r="N95" s="1761"/>
      <c r="O95" s="1761"/>
      <c r="P95" s="1761"/>
      <c r="Q95" s="1761"/>
      <c r="R95" s="1761"/>
      <c r="S95" s="1761"/>
      <c r="T95" s="1761"/>
      <c r="U95" s="1761"/>
      <c r="V95" s="1761"/>
      <c r="W95" s="1761"/>
      <c r="X95" s="1761"/>
      <c r="Y95" s="1761"/>
      <c r="Z95" s="1761"/>
      <c r="AA95" s="1761"/>
      <c r="AB95" s="1761"/>
      <c r="AC95" s="1761"/>
      <c r="AD95" s="1761"/>
      <c r="AE95" s="1761"/>
      <c r="AF95" s="1761"/>
      <c r="AG95" s="1761"/>
      <c r="AH95" s="1761"/>
      <c r="AI95" s="1761"/>
      <c r="AJ95" s="1761"/>
      <c r="AK95" s="1761"/>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761" t="s">
        <v>1374</v>
      </c>
      <c r="H97" s="1761"/>
      <c r="I97" s="1761"/>
      <c r="J97" s="1761"/>
      <c r="K97" s="1761"/>
      <c r="L97" s="1761"/>
      <c r="M97" s="1761"/>
      <c r="N97" s="1761"/>
      <c r="O97" s="1761"/>
      <c r="P97" s="1761"/>
      <c r="Q97" s="1761"/>
      <c r="R97" s="1761"/>
      <c r="S97" s="1761"/>
      <c r="T97" s="1761"/>
      <c r="U97" s="1761"/>
      <c r="V97" s="1761"/>
      <c r="W97" s="1761"/>
      <c r="X97" s="1761"/>
      <c r="Y97" s="1761"/>
      <c r="Z97" s="1761"/>
      <c r="AA97" s="1761"/>
      <c r="AB97" s="1761"/>
      <c r="AC97" s="1761"/>
      <c r="AD97" s="1761"/>
      <c r="AE97" s="1761"/>
      <c r="AF97" s="1761"/>
      <c r="AG97" s="1761"/>
      <c r="AH97" s="1761"/>
      <c r="AI97" s="1761"/>
      <c r="AJ97" s="1761"/>
      <c r="AK97" s="1761"/>
    </row>
    <row r="98" spans="1:38">
      <c r="A98" s="149"/>
      <c r="C98" s="183"/>
      <c r="D98" s="182"/>
      <c r="E98" s="182"/>
      <c r="F98" s="2"/>
      <c r="G98" s="1761"/>
      <c r="H98" s="1761"/>
      <c r="I98" s="1761"/>
      <c r="J98" s="1761"/>
      <c r="K98" s="1761"/>
      <c r="L98" s="1761"/>
      <c r="M98" s="1761"/>
      <c r="N98" s="1761"/>
      <c r="O98" s="1761"/>
      <c r="P98" s="1761"/>
      <c r="Q98" s="1761"/>
      <c r="R98" s="1761"/>
      <c r="S98" s="1761"/>
      <c r="T98" s="1761"/>
      <c r="U98" s="1761"/>
      <c r="V98" s="1761"/>
      <c r="W98" s="1761"/>
      <c r="X98" s="1761"/>
      <c r="Y98" s="1761"/>
      <c r="Z98" s="1761"/>
      <c r="AA98" s="1761"/>
      <c r="AB98" s="1761"/>
      <c r="AC98" s="1761"/>
      <c r="AD98" s="1761"/>
      <c r="AE98" s="1761"/>
      <c r="AF98" s="1761"/>
      <c r="AG98" s="1761"/>
      <c r="AH98" s="1761"/>
      <c r="AI98" s="1761"/>
      <c r="AJ98" s="1761"/>
      <c r="AK98" s="1761"/>
      <c r="AL98" s="2"/>
    </row>
    <row r="99" spans="1:38">
      <c r="A99" s="149"/>
      <c r="C99" s="183"/>
      <c r="D99" s="182"/>
      <c r="E99" s="182"/>
      <c r="F99" s="2"/>
      <c r="G99" s="1761"/>
      <c r="H99" s="1761"/>
      <c r="I99" s="1761"/>
      <c r="J99" s="1761"/>
      <c r="K99" s="1761"/>
      <c r="L99" s="1761"/>
      <c r="M99" s="1761"/>
      <c r="N99" s="1761"/>
      <c r="O99" s="1761"/>
      <c r="P99" s="1761"/>
      <c r="Q99" s="1761"/>
      <c r="R99" s="1761"/>
      <c r="S99" s="1761"/>
      <c r="T99" s="1761"/>
      <c r="U99" s="1761"/>
      <c r="V99" s="1761"/>
      <c r="W99" s="1761"/>
      <c r="X99" s="1761"/>
      <c r="Y99" s="1761"/>
      <c r="Z99" s="1761"/>
      <c r="AA99" s="1761"/>
      <c r="AB99" s="1761"/>
      <c r="AC99" s="1761"/>
      <c r="AD99" s="1761"/>
      <c r="AE99" s="1761"/>
      <c r="AF99" s="1761"/>
      <c r="AG99" s="1761"/>
      <c r="AH99" s="1761"/>
      <c r="AI99" s="1761"/>
      <c r="AJ99" s="1761"/>
      <c r="AK99" s="1761"/>
      <c r="AL99" s="2"/>
    </row>
    <row r="100" spans="1:38">
      <c r="A100" s="149"/>
      <c r="C100" s="2"/>
      <c r="D100" s="492"/>
      <c r="E100" s="1770" t="s">
        <v>1375</v>
      </c>
      <c r="F100" s="1770"/>
      <c r="G100" s="1770"/>
      <c r="H100" s="1770"/>
      <c r="I100" s="1770"/>
      <c r="J100" s="1770"/>
      <c r="K100" s="1770"/>
      <c r="L100" s="1770"/>
      <c r="M100" s="1770"/>
      <c r="N100" s="1770"/>
      <c r="O100" s="1770"/>
      <c r="P100" s="1770"/>
      <c r="Q100" s="1770"/>
      <c r="R100" s="1770"/>
      <c r="S100" s="1770"/>
      <c r="T100" s="1770"/>
      <c r="U100" s="1770"/>
      <c r="V100" s="1770"/>
      <c r="W100" s="1770"/>
      <c r="X100" s="1770"/>
      <c r="Y100" s="1770"/>
      <c r="Z100" s="1770"/>
      <c r="AA100" s="1770"/>
      <c r="AB100" s="1770"/>
      <c r="AC100" s="1770"/>
      <c r="AD100" s="1770"/>
      <c r="AE100" s="1770"/>
      <c r="AF100" s="1770"/>
      <c r="AG100" s="1770"/>
      <c r="AH100" s="1770"/>
      <c r="AI100" s="1770"/>
      <c r="AJ100" s="1770"/>
      <c r="AK100" s="1770"/>
      <c r="AL100" s="2"/>
    </row>
    <row r="101" spans="1:38">
      <c r="A101" s="149"/>
      <c r="D101" s="153"/>
      <c r="E101" s="1770"/>
      <c r="F101" s="1770"/>
      <c r="G101" s="1770"/>
      <c r="H101" s="1770"/>
      <c r="I101" s="1770"/>
      <c r="J101" s="1770"/>
      <c r="K101" s="1770"/>
      <c r="L101" s="1770"/>
      <c r="M101" s="1770"/>
      <c r="N101" s="1770"/>
      <c r="O101" s="1770"/>
      <c r="P101" s="1770"/>
      <c r="Q101" s="1770"/>
      <c r="R101" s="1770"/>
      <c r="S101" s="1770"/>
      <c r="T101" s="1770"/>
      <c r="U101" s="1770"/>
      <c r="V101" s="1770"/>
      <c r="W101" s="1770"/>
      <c r="X101" s="1770"/>
      <c r="Y101" s="1770"/>
      <c r="Z101" s="1770"/>
      <c r="AA101" s="1770"/>
      <c r="AB101" s="1770"/>
      <c r="AC101" s="1770"/>
      <c r="AD101" s="1770"/>
      <c r="AE101" s="1770"/>
      <c r="AF101" s="1770"/>
      <c r="AG101" s="1770"/>
      <c r="AH101" s="1770"/>
      <c r="AI101" s="1770"/>
      <c r="AJ101" s="1770"/>
      <c r="AK101" s="177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14" t="s">
        <v>1499</v>
      </c>
      <c r="G133" s="5"/>
      <c r="H133" s="5"/>
      <c r="I133" s="5"/>
      <c r="J133" s="5"/>
      <c r="K133" s="5"/>
      <c r="L133" s="5"/>
      <c r="M133" s="5"/>
      <c r="N133" s="5"/>
    </row>
    <row r="134" spans="4:37" ht="12.75" customHeight="1">
      <c r="E134" s="814"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14"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13"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761" t="s">
        <v>1376</v>
      </c>
      <c r="H207" s="1761"/>
      <c r="I207" s="1761"/>
      <c r="J207" s="1761"/>
      <c r="K207" s="1761"/>
      <c r="L207" s="1761"/>
      <c r="M207" s="1761"/>
      <c r="N207" s="1761"/>
      <c r="O207" s="1761"/>
      <c r="P207" s="1761"/>
      <c r="Q207" s="1761"/>
      <c r="R207" s="1761"/>
      <c r="S207" s="1761"/>
      <c r="T207" s="1761"/>
      <c r="U207" s="1761"/>
      <c r="V207" s="1761"/>
      <c r="W207" s="1761"/>
      <c r="X207" s="1761"/>
      <c r="Y207" s="1761"/>
      <c r="Z207" s="1761"/>
      <c r="AA207" s="1761"/>
      <c r="AB207" s="1761"/>
      <c r="AC207" s="1761"/>
      <c r="AD207" s="1761"/>
      <c r="AE207" s="1761"/>
      <c r="AF207" s="1761"/>
      <c r="AG207" s="1761"/>
      <c r="AH207" s="1761"/>
      <c r="AI207" s="1761"/>
      <c r="AJ207" s="1761"/>
      <c r="AK207" s="1761"/>
    </row>
    <row r="208" spans="2:37">
      <c r="B208" s="149"/>
      <c r="C208" s="149"/>
      <c r="D208" s="5"/>
      <c r="G208" s="1761"/>
      <c r="H208" s="1761"/>
      <c r="I208" s="1761"/>
      <c r="J208" s="1761"/>
      <c r="K208" s="1761"/>
      <c r="L208" s="1761"/>
      <c r="M208" s="1761"/>
      <c r="N208" s="1761"/>
      <c r="O208" s="1761"/>
      <c r="P208" s="1761"/>
      <c r="Q208" s="1761"/>
      <c r="R208" s="1761"/>
      <c r="S208" s="1761"/>
      <c r="T208" s="1761"/>
      <c r="U208" s="1761"/>
      <c r="V208" s="1761"/>
      <c r="W208" s="1761"/>
      <c r="X208" s="1761"/>
      <c r="Y208" s="1761"/>
      <c r="Z208" s="1761"/>
      <c r="AA208" s="1761"/>
      <c r="AB208" s="1761"/>
      <c r="AC208" s="1761"/>
      <c r="AD208" s="1761"/>
      <c r="AE208" s="1761"/>
      <c r="AF208" s="1761"/>
      <c r="AG208" s="1761"/>
      <c r="AH208" s="1761"/>
      <c r="AI208" s="1761"/>
      <c r="AJ208" s="1761"/>
      <c r="AK208" s="1761"/>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761" t="s">
        <v>1351</v>
      </c>
      <c r="G338" s="1761"/>
      <c r="H338" s="1761"/>
      <c r="I338" s="1761"/>
      <c r="J338" s="1761"/>
      <c r="K338" s="1761"/>
      <c r="L338" s="1761"/>
      <c r="M338" s="1761"/>
      <c r="N338" s="1761"/>
      <c r="O338" s="1761"/>
      <c r="P338" s="1761"/>
      <c r="Q338" s="1761"/>
      <c r="R338" s="1761"/>
      <c r="S338" s="1761"/>
      <c r="T338" s="1761"/>
      <c r="U338" s="1761"/>
      <c r="V338" s="1761"/>
      <c r="W338" s="1761"/>
      <c r="X338" s="1761"/>
      <c r="Y338" s="1761"/>
      <c r="Z338" s="1761"/>
      <c r="AA338" s="1761"/>
      <c r="AB338" s="1761"/>
      <c r="AC338" s="1761"/>
      <c r="AD338" s="1761"/>
      <c r="AE338" s="1761"/>
      <c r="AF338" s="1761"/>
      <c r="AG338" s="1761"/>
      <c r="AH338" s="1761"/>
      <c r="AI338" s="1761"/>
      <c r="AJ338" s="1761"/>
      <c r="AK338" s="1761"/>
    </row>
    <row r="339" spans="2:37">
      <c r="B339" s="5"/>
      <c r="E339" s="149"/>
      <c r="F339" s="1761"/>
      <c r="G339" s="1761"/>
      <c r="H339" s="1761"/>
      <c r="I339" s="1761"/>
      <c r="J339" s="1761"/>
      <c r="K339" s="1761"/>
      <c r="L339" s="1761"/>
      <c r="M339" s="1761"/>
      <c r="N339" s="1761"/>
      <c r="O339" s="1761"/>
      <c r="P339" s="1761"/>
      <c r="Q339" s="1761"/>
      <c r="R339" s="1761"/>
      <c r="S339" s="1761"/>
      <c r="T339" s="1761"/>
      <c r="U339" s="1761"/>
      <c r="V339" s="1761"/>
      <c r="W339" s="1761"/>
      <c r="X339" s="1761"/>
      <c r="Y339" s="1761"/>
      <c r="Z339" s="1761"/>
      <c r="AA339" s="1761"/>
      <c r="AB339" s="1761"/>
      <c r="AC339" s="1761"/>
      <c r="AD339" s="1761"/>
      <c r="AE339" s="1761"/>
      <c r="AF339" s="1761"/>
      <c r="AG339" s="1761"/>
      <c r="AH339" s="1761"/>
      <c r="AI339" s="1761"/>
      <c r="AJ339" s="1761"/>
      <c r="AK339" s="1761"/>
    </row>
    <row r="340" spans="2:37">
      <c r="B340" s="5"/>
      <c r="E340" s="149"/>
      <c r="F340" s="1761"/>
      <c r="G340" s="1761"/>
      <c r="H340" s="1761"/>
      <c r="I340" s="1761"/>
      <c r="J340" s="1761"/>
      <c r="K340" s="1761"/>
      <c r="L340" s="1761"/>
      <c r="M340" s="1761"/>
      <c r="N340" s="1761"/>
      <c r="O340" s="1761"/>
      <c r="P340" s="1761"/>
      <c r="Q340" s="1761"/>
      <c r="R340" s="1761"/>
      <c r="S340" s="1761"/>
      <c r="T340" s="1761"/>
      <c r="U340" s="1761"/>
      <c r="V340" s="1761"/>
      <c r="W340" s="1761"/>
      <c r="X340" s="1761"/>
      <c r="Y340" s="1761"/>
      <c r="Z340" s="1761"/>
      <c r="AA340" s="1761"/>
      <c r="AB340" s="1761"/>
      <c r="AC340" s="1761"/>
      <c r="AD340" s="1761"/>
      <c r="AE340" s="1761"/>
      <c r="AF340" s="1761"/>
      <c r="AG340" s="1761"/>
      <c r="AH340" s="1761"/>
      <c r="AI340" s="1761"/>
      <c r="AJ340" s="1761"/>
      <c r="AK340" s="1761"/>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15" customHeight="1">
      <c r="B343" s="5"/>
      <c r="E343" s="1763" t="s">
        <v>1458</v>
      </c>
      <c r="F343" s="1763"/>
      <c r="G343" s="1763"/>
      <c r="H343" s="1763"/>
      <c r="I343" s="1763"/>
      <c r="J343" s="1763"/>
      <c r="K343" s="1763"/>
      <c r="L343" s="1763"/>
      <c r="M343" s="1763"/>
      <c r="N343" s="1763"/>
      <c r="O343" s="1763"/>
      <c r="P343" s="1763"/>
      <c r="Q343" s="1763"/>
      <c r="R343" s="1763"/>
      <c r="S343" s="1763"/>
      <c r="T343" s="1763"/>
      <c r="U343" s="1763"/>
      <c r="V343" s="1763"/>
      <c r="W343" s="1763"/>
      <c r="X343" s="1763"/>
      <c r="Y343" s="1763"/>
      <c r="Z343" s="1763"/>
      <c r="AA343" s="1763"/>
      <c r="AB343" s="1763"/>
      <c r="AC343" s="1763"/>
      <c r="AD343" s="1763"/>
      <c r="AE343" s="1763"/>
      <c r="AF343" s="1763"/>
      <c r="AG343" s="1763"/>
      <c r="AH343" s="1763"/>
      <c r="AI343" s="1763"/>
      <c r="AJ343" s="1763"/>
      <c r="AK343" s="1763"/>
    </row>
    <row r="344" spans="2:37" s="718" customFormat="1">
      <c r="B344" s="5"/>
      <c r="E344" s="1763"/>
      <c r="F344" s="1763"/>
      <c r="G344" s="1763"/>
      <c r="H344" s="1763"/>
      <c r="I344" s="1763"/>
      <c r="J344" s="1763"/>
      <c r="K344" s="1763"/>
      <c r="L344" s="1763"/>
      <c r="M344" s="1763"/>
      <c r="N344" s="1763"/>
      <c r="O344" s="1763"/>
      <c r="P344" s="1763"/>
      <c r="Q344" s="1763"/>
      <c r="R344" s="1763"/>
      <c r="S344" s="1763"/>
      <c r="T344" s="1763"/>
      <c r="U344" s="1763"/>
      <c r="V344" s="1763"/>
      <c r="W344" s="1763"/>
      <c r="X344" s="1763"/>
      <c r="Y344" s="1763"/>
      <c r="Z344" s="1763"/>
      <c r="AA344" s="1763"/>
      <c r="AB344" s="1763"/>
      <c r="AC344" s="1763"/>
      <c r="AD344" s="1763"/>
      <c r="AE344" s="1763"/>
      <c r="AF344" s="1763"/>
      <c r="AG344" s="1763"/>
      <c r="AH344" s="1763"/>
      <c r="AI344" s="1763"/>
      <c r="AJ344" s="1763"/>
      <c r="AK344" s="1763"/>
    </row>
    <row r="345" spans="2:37" s="718" customFormat="1">
      <c r="B345" s="5"/>
      <c r="E345" s="1763"/>
      <c r="F345" s="1763"/>
      <c r="G345" s="1763"/>
      <c r="H345" s="1763"/>
      <c r="I345" s="1763"/>
      <c r="J345" s="1763"/>
      <c r="K345" s="1763"/>
      <c r="L345" s="1763"/>
      <c r="M345" s="1763"/>
      <c r="N345" s="1763"/>
      <c r="O345" s="1763"/>
      <c r="P345" s="1763"/>
      <c r="Q345" s="1763"/>
      <c r="R345" s="1763"/>
      <c r="S345" s="1763"/>
      <c r="T345" s="1763"/>
      <c r="U345" s="1763"/>
      <c r="V345" s="1763"/>
      <c r="W345" s="1763"/>
      <c r="X345" s="1763"/>
      <c r="Y345" s="1763"/>
      <c r="Z345" s="1763"/>
      <c r="AA345" s="1763"/>
      <c r="AB345" s="1763"/>
      <c r="AC345" s="1763"/>
      <c r="AD345" s="1763"/>
      <c r="AE345" s="1763"/>
      <c r="AF345" s="1763"/>
      <c r="AG345" s="1763"/>
      <c r="AH345" s="1763"/>
      <c r="AI345" s="1763"/>
      <c r="AJ345" s="1763"/>
      <c r="AK345" s="1763"/>
    </row>
    <row r="346" spans="2:37" s="718" customFormat="1">
      <c r="B346" s="5"/>
      <c r="E346" s="1763"/>
      <c r="F346" s="1763"/>
      <c r="G346" s="1763"/>
      <c r="H346" s="1763"/>
      <c r="I346" s="1763"/>
      <c r="J346" s="1763"/>
      <c r="K346" s="1763"/>
      <c r="L346" s="1763"/>
      <c r="M346" s="1763"/>
      <c r="N346" s="1763"/>
      <c r="O346" s="1763"/>
      <c r="P346" s="1763"/>
      <c r="Q346" s="1763"/>
      <c r="R346" s="1763"/>
      <c r="S346" s="1763"/>
      <c r="T346" s="1763"/>
      <c r="U346" s="1763"/>
      <c r="V346" s="1763"/>
      <c r="W346" s="1763"/>
      <c r="X346" s="1763"/>
      <c r="Y346" s="1763"/>
      <c r="Z346" s="1763"/>
      <c r="AA346" s="1763"/>
      <c r="AB346" s="1763"/>
      <c r="AC346" s="1763"/>
      <c r="AD346" s="1763"/>
      <c r="AE346" s="1763"/>
      <c r="AF346" s="1763"/>
      <c r="AG346" s="1763"/>
      <c r="AH346" s="1763"/>
      <c r="AI346" s="1763"/>
      <c r="AJ346" s="1763"/>
      <c r="AK346" s="1763"/>
    </row>
    <row r="347" spans="2:37" s="718" customFormat="1">
      <c r="B347" s="5"/>
      <c r="E347" s="1763"/>
      <c r="F347" s="1763"/>
      <c r="G347" s="1763"/>
      <c r="H347" s="1763"/>
      <c r="I347" s="1763"/>
      <c r="J347" s="1763"/>
      <c r="K347" s="1763"/>
      <c r="L347" s="1763"/>
      <c r="M347" s="1763"/>
      <c r="N347" s="1763"/>
      <c r="O347" s="1763"/>
      <c r="P347" s="1763"/>
      <c r="Q347" s="1763"/>
      <c r="R347" s="1763"/>
      <c r="S347" s="1763"/>
      <c r="T347" s="1763"/>
      <c r="U347" s="1763"/>
      <c r="V347" s="1763"/>
      <c r="W347" s="1763"/>
      <c r="X347" s="1763"/>
      <c r="Y347" s="1763"/>
      <c r="Z347" s="1763"/>
      <c r="AA347" s="1763"/>
      <c r="AB347" s="1763"/>
      <c r="AC347" s="1763"/>
      <c r="AD347" s="1763"/>
      <c r="AE347" s="1763"/>
      <c r="AF347" s="1763"/>
      <c r="AG347" s="1763"/>
      <c r="AH347" s="1763"/>
      <c r="AI347" s="1763"/>
      <c r="AJ347" s="1763"/>
      <c r="AK347" s="1763"/>
    </row>
    <row r="348" spans="2:37" s="718" customFormat="1">
      <c r="B348" s="5"/>
      <c r="E348" s="6" t="s">
        <v>117</v>
      </c>
      <c r="F348" s="1761" t="s">
        <v>1460</v>
      </c>
      <c r="G348" s="1761"/>
      <c r="H348" s="1761"/>
      <c r="I348" s="1761"/>
      <c r="J348" s="1761"/>
      <c r="K348" s="1761"/>
      <c r="L348" s="1761"/>
      <c r="M348" s="1761"/>
      <c r="N348" s="1761"/>
      <c r="O348" s="1761"/>
      <c r="P348" s="1761"/>
      <c r="Q348" s="1761"/>
      <c r="R348" s="1761"/>
      <c r="S348" s="1761"/>
      <c r="T348" s="1761"/>
      <c r="U348" s="1761"/>
      <c r="V348" s="1761"/>
      <c r="W348" s="1761"/>
      <c r="X348" s="1761"/>
      <c r="Y348" s="1761"/>
      <c r="Z348" s="1761"/>
      <c r="AA348" s="1761"/>
      <c r="AB348" s="1761"/>
      <c r="AC348" s="1761"/>
      <c r="AD348" s="1761"/>
      <c r="AE348" s="1761"/>
      <c r="AF348" s="1761"/>
      <c r="AG348" s="1761"/>
      <c r="AH348" s="1761"/>
      <c r="AI348" s="1761"/>
      <c r="AJ348" s="1761"/>
      <c r="AK348" s="1761"/>
    </row>
    <row r="349" spans="2:37" s="718" customFormat="1">
      <c r="B349" s="5"/>
      <c r="E349" s="6"/>
      <c r="F349" s="1761"/>
      <c r="G349" s="1761"/>
      <c r="H349" s="1761"/>
      <c r="I349" s="1761"/>
      <c r="J349" s="1761"/>
      <c r="K349" s="1761"/>
      <c r="L349" s="1761"/>
      <c r="M349" s="1761"/>
      <c r="N349" s="1761"/>
      <c r="O349" s="1761"/>
      <c r="P349" s="1761"/>
      <c r="Q349" s="1761"/>
      <c r="R349" s="1761"/>
      <c r="S349" s="1761"/>
      <c r="T349" s="1761"/>
      <c r="U349" s="1761"/>
      <c r="V349" s="1761"/>
      <c r="W349" s="1761"/>
      <c r="X349" s="1761"/>
      <c r="Y349" s="1761"/>
      <c r="Z349" s="1761"/>
      <c r="AA349" s="1761"/>
      <c r="AB349" s="1761"/>
      <c r="AC349" s="1761"/>
      <c r="AD349" s="1761"/>
      <c r="AE349" s="1761"/>
      <c r="AF349" s="1761"/>
      <c r="AG349" s="1761"/>
      <c r="AH349" s="1761"/>
      <c r="AI349" s="1761"/>
      <c r="AJ349" s="1761"/>
      <c r="AK349" s="1761"/>
    </row>
    <row r="350" spans="2:37" s="718" customFormat="1">
      <c r="B350" s="5"/>
      <c r="E350" s="6"/>
      <c r="F350" s="1761"/>
      <c r="G350" s="1761"/>
      <c r="H350" s="1761"/>
      <c r="I350" s="1761"/>
      <c r="J350" s="1761"/>
      <c r="K350" s="1761"/>
      <c r="L350" s="1761"/>
      <c r="M350" s="1761"/>
      <c r="N350" s="1761"/>
      <c r="O350" s="1761"/>
      <c r="P350" s="1761"/>
      <c r="Q350" s="1761"/>
      <c r="R350" s="1761"/>
      <c r="S350" s="1761"/>
      <c r="T350" s="1761"/>
      <c r="U350" s="1761"/>
      <c r="V350" s="1761"/>
      <c r="W350" s="1761"/>
      <c r="X350" s="1761"/>
      <c r="Y350" s="1761"/>
      <c r="Z350" s="1761"/>
      <c r="AA350" s="1761"/>
      <c r="AB350" s="1761"/>
      <c r="AC350" s="1761"/>
      <c r="AD350" s="1761"/>
      <c r="AE350" s="1761"/>
      <c r="AF350" s="1761"/>
      <c r="AG350" s="1761"/>
      <c r="AH350" s="1761"/>
      <c r="AI350" s="1761"/>
      <c r="AJ350" s="1761"/>
      <c r="AK350" s="1761"/>
    </row>
    <row r="351" spans="2:37" s="718" customFormat="1">
      <c r="B351" s="5"/>
      <c r="E351" s="6"/>
      <c r="F351" s="1761"/>
      <c r="G351" s="1761"/>
      <c r="H351" s="1761"/>
      <c r="I351" s="1761"/>
      <c r="J351" s="1761"/>
      <c r="K351" s="1761"/>
      <c r="L351" s="1761"/>
      <c r="M351" s="1761"/>
      <c r="N351" s="1761"/>
      <c r="O351" s="1761"/>
      <c r="P351" s="1761"/>
      <c r="Q351" s="1761"/>
      <c r="R351" s="1761"/>
      <c r="S351" s="1761"/>
      <c r="T351" s="1761"/>
      <c r="U351" s="1761"/>
      <c r="V351" s="1761"/>
      <c r="W351" s="1761"/>
      <c r="X351" s="1761"/>
      <c r="Y351" s="1761"/>
      <c r="Z351" s="1761"/>
      <c r="AA351" s="1761"/>
      <c r="AB351" s="1761"/>
      <c r="AC351" s="1761"/>
      <c r="AD351" s="1761"/>
      <c r="AE351" s="1761"/>
      <c r="AF351" s="1761"/>
      <c r="AG351" s="1761"/>
      <c r="AH351" s="1761"/>
      <c r="AI351" s="1761"/>
      <c r="AJ351" s="1761"/>
      <c r="AK351" s="1761"/>
    </row>
    <row r="352" spans="2:37" s="718" customFormat="1">
      <c r="B352" s="5"/>
      <c r="E352" s="6" t="s">
        <v>118</v>
      </c>
      <c r="F352" s="1761" t="s">
        <v>1459</v>
      </c>
      <c r="G352" s="1761"/>
      <c r="H352" s="1761"/>
      <c r="I352" s="1761"/>
      <c r="J352" s="1761"/>
      <c r="K352" s="1761"/>
      <c r="L352" s="1761"/>
      <c r="M352" s="1761"/>
      <c r="N352" s="1761"/>
      <c r="O352" s="1761"/>
      <c r="P352" s="1761"/>
      <c r="Q352" s="1761"/>
      <c r="R352" s="1761"/>
      <c r="S352" s="1761"/>
      <c r="T352" s="1761"/>
      <c r="U352" s="1761"/>
      <c r="V352" s="1761"/>
      <c r="W352" s="1761"/>
      <c r="X352" s="1761"/>
      <c r="Y352" s="1761"/>
      <c r="Z352" s="1761"/>
      <c r="AA352" s="1761"/>
      <c r="AB352" s="1761"/>
      <c r="AC352" s="1761"/>
      <c r="AD352" s="1761"/>
      <c r="AE352" s="1761"/>
      <c r="AF352" s="1761"/>
      <c r="AG352" s="1761"/>
      <c r="AH352" s="1761"/>
      <c r="AI352" s="1761"/>
      <c r="AJ352" s="1761"/>
      <c r="AK352" s="1761"/>
    </row>
    <row r="353" spans="1:38" s="718" customFormat="1">
      <c r="B353" s="5"/>
      <c r="F353" s="1761"/>
      <c r="G353" s="1761"/>
      <c r="H353" s="1761"/>
      <c r="I353" s="1761"/>
      <c r="J353" s="1761"/>
      <c r="K353" s="1761"/>
      <c r="L353" s="1761"/>
      <c r="M353" s="1761"/>
      <c r="N353" s="1761"/>
      <c r="O353" s="1761"/>
      <c r="P353" s="1761"/>
      <c r="Q353" s="1761"/>
      <c r="R353" s="1761"/>
      <c r="S353" s="1761"/>
      <c r="T353" s="1761"/>
      <c r="U353" s="1761"/>
      <c r="V353" s="1761"/>
      <c r="W353" s="1761"/>
      <c r="X353" s="1761"/>
      <c r="Y353" s="1761"/>
      <c r="Z353" s="1761"/>
      <c r="AA353" s="1761"/>
      <c r="AB353" s="1761"/>
      <c r="AC353" s="1761"/>
      <c r="AD353" s="1761"/>
      <c r="AE353" s="1761"/>
      <c r="AF353" s="1761"/>
      <c r="AG353" s="1761"/>
      <c r="AH353" s="1761"/>
      <c r="AI353" s="1761"/>
      <c r="AJ353" s="1761"/>
      <c r="AK353" s="1761"/>
    </row>
    <row r="354" spans="1:38" s="718" customFormat="1">
      <c r="B354" s="5"/>
      <c r="F354" s="1761"/>
      <c r="G354" s="1761"/>
      <c r="H354" s="1761"/>
      <c r="I354" s="1761"/>
      <c r="J354" s="1761"/>
      <c r="K354" s="1761"/>
      <c r="L354" s="1761"/>
      <c r="M354" s="1761"/>
      <c r="N354" s="1761"/>
      <c r="O354" s="1761"/>
      <c r="P354" s="1761"/>
      <c r="Q354" s="1761"/>
      <c r="R354" s="1761"/>
      <c r="S354" s="1761"/>
      <c r="T354" s="1761"/>
      <c r="U354" s="1761"/>
      <c r="V354" s="1761"/>
      <c r="W354" s="1761"/>
      <c r="X354" s="1761"/>
      <c r="Y354" s="1761"/>
      <c r="Z354" s="1761"/>
      <c r="AA354" s="1761"/>
      <c r="AB354" s="1761"/>
      <c r="AC354" s="1761"/>
      <c r="AD354" s="1761"/>
      <c r="AE354" s="1761"/>
      <c r="AF354" s="1761"/>
      <c r="AG354" s="1761"/>
      <c r="AH354" s="1761"/>
      <c r="AI354" s="1761"/>
      <c r="AJ354" s="1761"/>
      <c r="AK354" s="1761"/>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79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788"/>
      <c r="F359" s="788"/>
      <c r="G359" s="788"/>
      <c r="H359" s="788"/>
      <c r="I359" s="788"/>
      <c r="J359" s="788"/>
      <c r="K359" s="788"/>
      <c r="L359" s="788"/>
      <c r="M359" s="788"/>
      <c r="N359" s="788"/>
      <c r="O359" s="788"/>
      <c r="P359" s="788"/>
      <c r="Q359" s="788"/>
      <c r="R359" s="788"/>
      <c r="S359" s="788"/>
      <c r="T359" s="788"/>
      <c r="U359" s="788"/>
      <c r="V359" s="788"/>
      <c r="W359" s="788"/>
      <c r="X359" s="788"/>
      <c r="Y359" s="788"/>
      <c r="Z359" s="788"/>
      <c r="AA359" s="788"/>
      <c r="AB359" s="788"/>
      <c r="AC359" s="788"/>
      <c r="AD359" s="788"/>
      <c r="AE359" s="788"/>
      <c r="AF359" s="788"/>
      <c r="AG359" s="788"/>
      <c r="AH359" s="788"/>
      <c r="AI359" s="788"/>
      <c r="AJ359" s="788"/>
      <c r="AK359" s="788"/>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764" t="s">
        <v>1449</v>
      </c>
      <c r="F367" s="1764"/>
      <c r="G367" s="1764"/>
      <c r="H367" s="1764"/>
      <c r="I367" s="1764"/>
      <c r="J367" s="1764"/>
      <c r="K367" s="1764"/>
      <c r="L367" s="1764"/>
      <c r="M367" s="1764"/>
      <c r="N367" s="1764"/>
      <c r="O367" s="1764"/>
      <c r="P367" s="1764"/>
      <c r="Q367" s="1764"/>
      <c r="R367" s="1764"/>
      <c r="S367" s="1764"/>
      <c r="T367" s="1764"/>
      <c r="U367" s="1764"/>
      <c r="V367" s="1764"/>
      <c r="W367" s="1764"/>
      <c r="X367" s="1764"/>
      <c r="Y367" s="1764"/>
      <c r="Z367" s="1764"/>
      <c r="AA367" s="1764"/>
      <c r="AB367" s="1764"/>
      <c r="AC367" s="1764"/>
      <c r="AD367" s="1764"/>
      <c r="AE367" s="1764"/>
      <c r="AF367" s="1764"/>
      <c r="AG367" s="1764"/>
      <c r="AH367" s="1764"/>
      <c r="AI367" s="1764"/>
      <c r="AJ367" s="1764"/>
      <c r="AK367" s="1764"/>
      <c r="AL367" s="1764"/>
    </row>
    <row r="368" spans="1:38" s="718" customFormat="1">
      <c r="B368" s="5"/>
      <c r="E368" s="1764"/>
      <c r="F368" s="1764"/>
      <c r="G368" s="1764"/>
      <c r="H368" s="1764"/>
      <c r="I368" s="1764"/>
      <c r="J368" s="1764"/>
      <c r="K368" s="1764"/>
      <c r="L368" s="1764"/>
      <c r="M368" s="1764"/>
      <c r="N368" s="1764"/>
      <c r="O368" s="1764"/>
      <c r="P368" s="1764"/>
      <c r="Q368" s="1764"/>
      <c r="R368" s="1764"/>
      <c r="S368" s="1764"/>
      <c r="T368" s="1764"/>
      <c r="U368" s="1764"/>
      <c r="V368" s="1764"/>
      <c r="W368" s="1764"/>
      <c r="X368" s="1764"/>
      <c r="Y368" s="1764"/>
      <c r="Z368" s="1764"/>
      <c r="AA368" s="1764"/>
      <c r="AB368" s="1764"/>
      <c r="AC368" s="1764"/>
      <c r="AD368" s="1764"/>
      <c r="AE368" s="1764"/>
      <c r="AF368" s="1764"/>
      <c r="AG368" s="1764"/>
      <c r="AH368" s="1764"/>
      <c r="AI368" s="1764"/>
      <c r="AJ368" s="1764"/>
      <c r="AK368" s="1764"/>
      <c r="AL368" s="1764"/>
    </row>
    <row r="369" spans="1:38" s="1766" customFormat="1">
      <c r="A369"/>
      <c r="B369" s="5"/>
      <c r="C369"/>
      <c r="D369"/>
      <c r="E369" s="1765" t="s">
        <v>1500</v>
      </c>
    </row>
    <row r="370" spans="1:38" s="1766" customFormat="1">
      <c r="A370" s="678"/>
      <c r="B370" s="183"/>
      <c r="C370" s="183"/>
      <c r="D370" s="678"/>
    </row>
    <row r="371" spans="1:38" s="718" customFormat="1">
      <c r="A371" s="678"/>
      <c r="B371" s="183"/>
      <c r="C371" s="678"/>
      <c r="D371" s="678"/>
      <c r="E371" s="182"/>
      <c r="F371" s="795"/>
      <c r="G371" s="795"/>
      <c r="H371" s="795"/>
      <c r="I371" s="795"/>
      <c r="J371" s="795"/>
      <c r="K371" s="795"/>
      <c r="L371" s="795"/>
      <c r="M371" s="795"/>
      <c r="N371" s="795"/>
      <c r="O371" s="795"/>
      <c r="P371" s="795"/>
      <c r="Q371" s="795"/>
      <c r="R371" s="795"/>
      <c r="S371" s="795"/>
      <c r="T371" s="795"/>
      <c r="U371" s="795"/>
      <c r="V371" s="795"/>
      <c r="W371" s="795"/>
      <c r="X371" s="795"/>
      <c r="Y371" s="795"/>
      <c r="Z371" s="795"/>
      <c r="AA371" s="795"/>
      <c r="AB371" s="795"/>
      <c r="AC371" s="795"/>
      <c r="AD371" s="795"/>
      <c r="AE371" s="795"/>
      <c r="AF371" s="795"/>
      <c r="AG371" s="795"/>
      <c r="AH371" s="795"/>
      <c r="AI371" s="795"/>
      <c r="AJ371" s="795"/>
      <c r="AK371" s="795"/>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762" t="s">
        <v>1511</v>
      </c>
      <c r="G388" s="1762"/>
      <c r="H388" s="1762"/>
      <c r="I388" s="1762"/>
      <c r="J388" s="1762"/>
      <c r="K388" s="1762"/>
      <c r="L388" s="1762"/>
      <c r="M388" s="1762"/>
      <c r="N388" s="1762"/>
      <c r="O388" s="1762"/>
      <c r="P388" s="1762"/>
      <c r="Q388" s="1762"/>
      <c r="R388" s="1762"/>
      <c r="S388" s="1762"/>
      <c r="T388" s="1762"/>
      <c r="U388" s="1762"/>
      <c r="V388" s="1762"/>
      <c r="W388" s="1762"/>
      <c r="X388" s="1762"/>
      <c r="Y388" s="1762"/>
      <c r="Z388" s="1762"/>
      <c r="AA388" s="1762"/>
      <c r="AB388" s="1762"/>
      <c r="AC388" s="1762"/>
      <c r="AD388" s="1762"/>
      <c r="AE388" s="1762"/>
      <c r="AF388" s="1762"/>
      <c r="AG388" s="1762"/>
      <c r="AH388" s="1762"/>
      <c r="AI388" s="1762"/>
      <c r="AJ388" s="1762"/>
      <c r="AK388" s="1762"/>
      <c r="AL388" s="678"/>
    </row>
    <row r="389" spans="1:38" s="718" customFormat="1">
      <c r="A389" s="678"/>
      <c r="B389" s="183"/>
      <c r="C389" s="678"/>
      <c r="D389" s="678"/>
      <c r="E389" s="679"/>
      <c r="F389" s="1762"/>
      <c r="G389" s="1762"/>
      <c r="H389" s="1762"/>
      <c r="I389" s="1762"/>
      <c r="J389" s="1762"/>
      <c r="K389" s="1762"/>
      <c r="L389" s="1762"/>
      <c r="M389" s="1762"/>
      <c r="N389" s="1762"/>
      <c r="O389" s="1762"/>
      <c r="P389" s="1762"/>
      <c r="Q389" s="1762"/>
      <c r="R389" s="1762"/>
      <c r="S389" s="1762"/>
      <c r="T389" s="1762"/>
      <c r="U389" s="1762"/>
      <c r="V389" s="1762"/>
      <c r="W389" s="1762"/>
      <c r="X389" s="1762"/>
      <c r="Y389" s="1762"/>
      <c r="Z389" s="1762"/>
      <c r="AA389" s="1762"/>
      <c r="AB389" s="1762"/>
      <c r="AC389" s="1762"/>
      <c r="AD389" s="1762"/>
      <c r="AE389" s="1762"/>
      <c r="AF389" s="1762"/>
      <c r="AG389" s="1762"/>
      <c r="AH389" s="1762"/>
      <c r="AI389" s="1762"/>
      <c r="AJ389" s="1762"/>
      <c r="AK389" s="1762"/>
      <c r="AL389" s="678"/>
    </row>
    <row r="390" spans="1:38" s="718" customFormat="1">
      <c r="A390" s="678"/>
      <c r="B390" s="183"/>
      <c r="C390" s="678"/>
      <c r="D390" s="678"/>
      <c r="E390" s="679"/>
      <c r="F390" s="1762"/>
      <c r="G390" s="1762"/>
      <c r="H390" s="1762"/>
      <c r="I390" s="1762"/>
      <c r="J390" s="1762"/>
      <c r="K390" s="1762"/>
      <c r="L390" s="1762"/>
      <c r="M390" s="1762"/>
      <c r="N390" s="1762"/>
      <c r="O390" s="1762"/>
      <c r="P390" s="1762"/>
      <c r="Q390" s="1762"/>
      <c r="R390" s="1762"/>
      <c r="S390" s="1762"/>
      <c r="T390" s="1762"/>
      <c r="U390" s="1762"/>
      <c r="V390" s="1762"/>
      <c r="W390" s="1762"/>
      <c r="X390" s="1762"/>
      <c r="Y390" s="1762"/>
      <c r="Z390" s="1762"/>
      <c r="AA390" s="1762"/>
      <c r="AB390" s="1762"/>
      <c r="AC390" s="1762"/>
      <c r="AD390" s="1762"/>
      <c r="AE390" s="1762"/>
      <c r="AF390" s="1762"/>
      <c r="AG390" s="1762"/>
      <c r="AH390" s="1762"/>
      <c r="AI390" s="1762"/>
      <c r="AJ390" s="1762"/>
      <c r="AK390" s="1762"/>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1519</v>
      </c>
      <c r="F393" s="795"/>
      <c r="G393" s="795"/>
      <c r="H393" s="795"/>
      <c r="I393" s="795"/>
      <c r="J393" s="795"/>
      <c r="K393" s="795"/>
      <c r="L393" s="795"/>
      <c r="M393" s="795"/>
      <c r="N393" s="795"/>
      <c r="O393" s="795"/>
      <c r="P393" s="795"/>
      <c r="Q393" s="795"/>
      <c r="R393" s="795"/>
      <c r="S393" s="795"/>
      <c r="T393" s="795"/>
      <c r="U393" s="795"/>
      <c r="V393" s="795"/>
      <c r="W393" s="795"/>
      <c r="X393" s="795"/>
      <c r="Y393" s="795"/>
      <c r="Z393" s="795"/>
      <c r="AA393" s="795"/>
      <c r="AB393" s="795"/>
      <c r="AC393" s="795"/>
      <c r="AD393" s="795"/>
      <c r="AE393" s="795"/>
      <c r="AF393" s="795"/>
      <c r="AG393" s="795"/>
      <c r="AH393" s="795"/>
      <c r="AI393" s="795"/>
      <c r="AJ393" s="795"/>
      <c r="AK393" s="795"/>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I14" sqref="I14"/>
    </sheetView>
  </sheetViews>
  <sheetFormatPr defaultColWidth="9.28515625" defaultRowHeight="14.25"/>
  <cols>
    <col min="1" max="1" width="3.7109375" style="1257" customWidth="1"/>
    <col min="2" max="2" width="1.7109375" style="1257" customWidth="1"/>
    <col min="3" max="3" width="2.7109375" style="1257" customWidth="1"/>
    <col min="4" max="4" width="40.7109375" style="1257" customWidth="1"/>
    <col min="5" max="5" width="13.42578125" style="1257" customWidth="1"/>
    <col min="6" max="6" width="2.7109375" style="1261" customWidth="1"/>
    <col min="7" max="7" width="10.7109375" style="1257" customWidth="1"/>
    <col min="8" max="8" width="2.7109375" style="1261" customWidth="1"/>
    <col min="9" max="9" width="10.7109375" style="1257" customWidth="1"/>
    <col min="10" max="10" width="1.5703125" style="1257" customWidth="1"/>
    <col min="11" max="11" width="47.42578125" style="1258" customWidth="1"/>
    <col min="12" max="16384" width="9.28515625" style="1257"/>
  </cols>
  <sheetData>
    <row r="1" spans="1:11" ht="30" customHeight="1">
      <c r="A1" s="3152" t="s">
        <v>1895</v>
      </c>
      <c r="B1" s="3152"/>
      <c r="C1" s="3152"/>
      <c r="D1" s="3152"/>
      <c r="E1" s="3152"/>
      <c r="F1" s="3152"/>
      <c r="G1" s="3152"/>
      <c r="H1" s="3152"/>
      <c r="I1" s="3152"/>
    </row>
    <row r="2" spans="1:11" ht="15">
      <c r="A2" s="1259"/>
      <c r="B2" s="1259"/>
      <c r="E2" s="1260"/>
      <c r="I2" s="1262"/>
      <c r="K2" s="1263"/>
    </row>
    <row r="3" spans="1:11">
      <c r="A3" s="1264" t="s">
        <v>1601</v>
      </c>
      <c r="B3" s="1264"/>
      <c r="C3" s="1257" t="s">
        <v>2199</v>
      </c>
      <c r="E3" s="1265">
        <f ca="1">ROUND(Application!AM564+'Basis &amp; Credits'!AB77,0)</f>
        <v>23656064</v>
      </c>
      <c r="F3" s="1265"/>
      <c r="K3" s="1336"/>
    </row>
    <row r="4" spans="1:11" s="1266" customFormat="1" ht="15" customHeight="1">
      <c r="C4" s="1266" t="s">
        <v>1896</v>
      </c>
      <c r="E4" s="1340">
        <f>Application!AD1037</f>
        <v>0.3</v>
      </c>
      <c r="F4" s="1267"/>
      <c r="H4" s="1268"/>
      <c r="K4" s="1553"/>
    </row>
    <row r="5" spans="1:11" s="1269" customFormat="1" ht="15" customHeight="1">
      <c r="A5" s="3153"/>
      <c r="B5" s="3153"/>
      <c r="D5" s="1269" t="s">
        <v>2200</v>
      </c>
      <c r="E5" s="1270">
        <f>IF('CDLAC Points System'!C274="Yes",0.2,0)</f>
        <v>0</v>
      </c>
      <c r="F5" s="1267"/>
      <c r="H5" s="1268"/>
      <c r="K5" s="1554"/>
    </row>
    <row r="6" spans="1:11" s="1269" customFormat="1" ht="15" customHeight="1">
      <c r="A6" s="1417"/>
      <c r="B6" s="1417"/>
      <c r="D6" s="1269" t="s">
        <v>2201</v>
      </c>
      <c r="E6" s="1270" t="str">
        <f>IF(AND((Application!W464&gt;=(0.5*Application!G753)),Application!D210="Special Needs",(OR(Application!M354="Yes",Application!M355="Yes"))),0.2," ")</f>
        <v xml:space="preserve"> </v>
      </c>
      <c r="F6" s="1267"/>
      <c r="H6" s="1268"/>
      <c r="K6" s="1554"/>
    </row>
    <row r="7" spans="1:11" ht="15">
      <c r="A7" s="1259"/>
      <c r="B7" s="1259"/>
      <c r="C7" s="1257" t="s">
        <v>2203</v>
      </c>
      <c r="E7" s="1338">
        <f ca="1">E3-(E3*(E4+(MAX(E5,E6))))</f>
        <v>16559244.800000001</v>
      </c>
      <c r="F7" s="1265"/>
      <c r="I7" s="1271"/>
      <c r="K7" s="1555"/>
    </row>
    <row r="8" spans="1:11" ht="15">
      <c r="A8" s="1259"/>
      <c r="B8" s="1259"/>
      <c r="E8" s="1271"/>
      <c r="F8" s="1272"/>
      <c r="G8" s="1273"/>
      <c r="H8" s="1274"/>
      <c r="I8" s="1271"/>
    </row>
    <row r="9" spans="1:11" s="1277" customFormat="1" ht="15" customHeight="1">
      <c r="A9" s="1275"/>
      <c r="B9" s="1275"/>
      <c r="C9" s="1276"/>
      <c r="E9" s="1278" t="s">
        <v>1897</v>
      </c>
      <c r="F9" s="1279"/>
      <c r="G9" s="1280" t="s">
        <v>1898</v>
      </c>
      <c r="H9" s="1274"/>
      <c r="I9" s="1280" t="s">
        <v>1899</v>
      </c>
      <c r="K9" s="1281"/>
    </row>
    <row r="10" spans="1:11">
      <c r="A10" s="1264" t="s">
        <v>1603</v>
      </c>
      <c r="B10" s="1264"/>
      <c r="C10" s="1257" t="s">
        <v>1900</v>
      </c>
      <c r="E10" s="1282" t="s">
        <v>1901</v>
      </c>
      <c r="F10" s="1274"/>
      <c r="G10" s="1282" t="s">
        <v>1902</v>
      </c>
      <c r="H10" s="1274"/>
      <c r="I10" s="1282" t="s">
        <v>1901</v>
      </c>
    </row>
    <row r="11" spans="1:11" ht="15">
      <c r="A11" s="1259"/>
      <c r="B11" s="1259"/>
      <c r="C11" s="1283" t="s">
        <v>1903</v>
      </c>
      <c r="D11" s="1283"/>
      <c r="E11" s="1685">
        <f>Application!BN635+Application!BN644+Application!CS658</f>
        <v>0</v>
      </c>
      <c r="G11" s="1284">
        <v>0.9</v>
      </c>
      <c r="H11" s="1285"/>
      <c r="I11" s="1286">
        <f>E11*G11</f>
        <v>0</v>
      </c>
      <c r="J11" s="1277"/>
      <c r="K11" s="1281"/>
    </row>
    <row r="12" spans="1:11" ht="15">
      <c r="A12" s="1259"/>
      <c r="B12" s="1259"/>
      <c r="C12" s="1277" t="s">
        <v>1904</v>
      </c>
      <c r="D12" s="1277"/>
      <c r="E12" s="1686">
        <f>Application!BS635+Application!BS644+Application!CX658</f>
        <v>4</v>
      </c>
      <c r="G12" s="1284">
        <v>1</v>
      </c>
      <c r="H12" s="1285"/>
      <c r="I12" s="1286">
        <f>E12*G12</f>
        <v>4</v>
      </c>
      <c r="J12" s="1277"/>
    </row>
    <row r="13" spans="1:11" ht="15">
      <c r="A13" s="1259"/>
      <c r="B13" s="1259"/>
      <c r="C13" s="1277" t="s">
        <v>1905</v>
      </c>
      <c r="D13" s="1277"/>
      <c r="E13" s="1686">
        <f>Application!BX635+Application!BX644+Application!DC658</f>
        <v>30</v>
      </c>
      <c r="G13" s="1284">
        <v>1.25</v>
      </c>
      <c r="H13" s="1285"/>
      <c r="I13" s="1286">
        <f>E13*G13</f>
        <v>37.5</v>
      </c>
      <c r="J13" s="1277"/>
    </row>
    <row r="14" spans="1:11" ht="15">
      <c r="A14" s="1259"/>
      <c r="B14" s="1259"/>
      <c r="C14" s="1277" t="s">
        <v>1906</v>
      </c>
      <c r="D14" s="1277"/>
      <c r="E14" s="1686">
        <f>Application!CC635+Application!CC644+Application!DH658</f>
        <v>32</v>
      </c>
      <c r="G14" s="1284">
        <f>1.5+0.25*0</f>
        <v>1.5</v>
      </c>
      <c r="H14" s="1285"/>
      <c r="I14" s="1286">
        <f>IF(E14/E16&lt;=30%,E14*G14,TRUNC(0.3*E16)*G14+(E14-TRUNC(0.3*E16))*G13)</f>
        <v>44.75</v>
      </c>
      <c r="J14" s="1277"/>
    </row>
    <row r="15" spans="1:11" ht="15">
      <c r="A15" s="1259"/>
      <c r="B15" s="1259"/>
      <c r="C15" s="1277" t="s">
        <v>1907</v>
      </c>
      <c r="D15" s="1277"/>
      <c r="E15" s="1687">
        <f>Application!CH635+Application!CM635+Application!CH644+Application!CM644+Application!DM658+Application!DR658</f>
        <v>0</v>
      </c>
      <c r="G15" s="1284">
        <f>1.75+0.25*0</f>
        <v>1.75</v>
      </c>
      <c r="H15" s="1285"/>
      <c r="I15" s="1287">
        <f>IF(E15/E16&lt;=10%,E15*G15,TRUNC(0.1*E16)*G15+(E15-TRUNC(0.1*E16))*G13)</f>
        <v>0</v>
      </c>
      <c r="J15" s="1277"/>
    </row>
    <row r="16" spans="1:11" ht="15">
      <c r="A16" s="1259"/>
      <c r="B16" s="1259"/>
      <c r="E16" s="1260">
        <f>SUM(E11:E15)</f>
        <v>66</v>
      </c>
      <c r="G16" s="1260"/>
      <c r="I16" s="1339">
        <f>SUM(I11:I15)</f>
        <v>86.25</v>
      </c>
    </row>
    <row r="17" spans="1:9" ht="15">
      <c r="A17" s="1259"/>
      <c r="B17" s="1259"/>
      <c r="E17" s="1260"/>
      <c r="I17" s="1288"/>
    </row>
    <row r="18" spans="1:9" ht="15">
      <c r="A18" s="1264" t="s">
        <v>1606</v>
      </c>
      <c r="B18" s="1264"/>
      <c r="C18" s="1289" t="s">
        <v>1908</v>
      </c>
      <c r="D18" s="1261"/>
      <c r="E18" s="1290">
        <f ca="1">E7/I16</f>
        <v>191991.24405797102</v>
      </c>
      <c r="F18" s="1291"/>
      <c r="G18" s="1292"/>
      <c r="H18" s="1293"/>
      <c r="I18" s="1288"/>
    </row>
    <row r="21" spans="1:9" ht="14.25" customHeight="1">
      <c r="A21" s="3154" t="s">
        <v>2482</v>
      </c>
      <c r="B21" s="3154"/>
      <c r="C21" s="3154"/>
      <c r="D21" s="3154"/>
      <c r="E21" s="3154"/>
      <c r="F21" s="3154"/>
      <c r="G21" s="3154"/>
      <c r="H21" s="3154"/>
      <c r="I21" s="3154"/>
    </row>
    <row r="22" spans="1:9">
      <c r="A22" s="3154"/>
      <c r="B22" s="3154"/>
      <c r="C22" s="3154"/>
      <c r="D22" s="3154"/>
      <c r="E22" s="3154"/>
      <c r="F22" s="3154"/>
      <c r="G22" s="3154"/>
      <c r="H22" s="3154"/>
      <c r="I22" s="3154"/>
    </row>
    <row r="23" spans="1:9">
      <c r="A23" s="3154"/>
      <c r="B23" s="3154"/>
      <c r="C23" s="3154"/>
      <c r="D23" s="3154"/>
      <c r="E23" s="3154"/>
      <c r="F23" s="3154"/>
      <c r="G23" s="3154"/>
      <c r="H23" s="3154"/>
      <c r="I23" s="3154"/>
    </row>
    <row r="24" spans="1:9">
      <c r="A24" s="3154"/>
      <c r="B24" s="3154"/>
      <c r="C24" s="3154"/>
      <c r="D24" s="3154"/>
      <c r="E24" s="3154"/>
      <c r="F24" s="3154"/>
      <c r="G24" s="3154"/>
      <c r="H24" s="3154"/>
      <c r="I24" s="3154"/>
    </row>
    <row r="26" spans="1:9" ht="20.100000000000001" customHeight="1">
      <c r="A26" s="1257" t="s">
        <v>2202</v>
      </c>
    </row>
  </sheetData>
  <sheetProtection algorithmName="SHA-512" hashValue="NoEhzHdMXeTVBM8C0RATmJKaru1yyinN4+42qgMEsMmFghXVq7FqzI5JBEt2B5S+6epQZkMVI1bGkWLo13ZBuA==" saltValue="NCz0+zgkV6J4f4VZezxuuA=="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61" sqref="A61:BX61"/>
    </sheetView>
  </sheetViews>
  <sheetFormatPr defaultColWidth="0" defaultRowHeight="0" customHeight="1" zeroHeight="1"/>
  <cols>
    <col min="1" max="1" width="1.5703125" style="781" customWidth="1"/>
    <col min="2" max="2" width="0.7109375" style="781" customWidth="1"/>
    <col min="3" max="18" width="2.5703125" style="781" customWidth="1"/>
    <col min="19" max="19" width="4" style="781" customWidth="1"/>
    <col min="20" max="39" width="2.7109375" style="781" customWidth="1"/>
    <col min="40" max="40" width="1.5703125" style="781" customWidth="1"/>
    <col min="41" max="76" width="2.5703125" style="781" hidden="1"/>
    <col min="77" max="256" width="2.5703125" style="618" hidden="1"/>
    <col min="257" max="257" width="1.5703125" style="618" hidden="1" customWidth="1"/>
    <col min="258" max="258" width="0.71093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71093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71093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71093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71093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71093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71093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71093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71093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71093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71093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71093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71093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71093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71093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71093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71093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71093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71093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71093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71093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71093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71093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71093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71093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71093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71093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71093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71093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71093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71093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71093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71093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71093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71093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71093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71093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71093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71093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71093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71093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71093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71093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71093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71093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71093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71093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71093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71093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71093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71093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71093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71093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71093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71093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71093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71093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71093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71093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71093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71093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71093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71093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211" t="s">
        <v>1533</v>
      </c>
      <c r="B1" s="3211"/>
      <c r="C1" s="3211"/>
      <c r="D1" s="3211"/>
      <c r="E1" s="3211"/>
      <c r="F1" s="3211"/>
      <c r="G1" s="3211"/>
      <c r="H1" s="3211"/>
      <c r="I1" s="3211"/>
      <c r="J1" s="3211"/>
      <c r="K1" s="3211"/>
      <c r="L1" s="3211"/>
      <c r="M1" s="3211"/>
      <c r="N1" s="3211"/>
      <c r="O1" s="3211"/>
      <c r="P1" s="3211"/>
      <c r="Q1" s="3211"/>
      <c r="R1" s="3211"/>
      <c r="S1" s="3211"/>
      <c r="T1" s="3211"/>
      <c r="U1" s="3211"/>
      <c r="V1" s="3211"/>
      <c r="W1" s="3211"/>
      <c r="X1" s="3211"/>
      <c r="Y1" s="3211"/>
      <c r="Z1" s="3211"/>
      <c r="AA1" s="3211"/>
      <c r="AB1" s="3211"/>
      <c r="AC1" s="3211"/>
      <c r="AD1" s="3211"/>
      <c r="AE1" s="3211"/>
      <c r="AF1" s="3211"/>
      <c r="AG1" s="3211"/>
      <c r="AH1" s="3211"/>
      <c r="AI1" s="3211"/>
      <c r="AJ1" s="3211"/>
      <c r="AK1" s="3211"/>
      <c r="AL1" s="3211"/>
      <c r="AM1" s="3211"/>
      <c r="AN1" s="3211"/>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212"/>
      <c r="B2" s="3212"/>
      <c r="C2" s="3212"/>
      <c r="D2" s="3212"/>
      <c r="E2" s="3212"/>
      <c r="F2" s="3212"/>
      <c r="G2" s="3212"/>
      <c r="H2" s="3212"/>
      <c r="I2" s="3212"/>
      <c r="J2" s="3212"/>
      <c r="K2" s="3212"/>
      <c r="L2" s="3212"/>
      <c r="M2" s="3212"/>
      <c r="N2" s="3212"/>
      <c r="O2" s="3212"/>
      <c r="P2" s="3212"/>
      <c r="Q2" s="3212"/>
      <c r="R2" s="3212"/>
      <c r="S2" s="3212"/>
      <c r="T2" s="3212"/>
      <c r="U2" s="3212"/>
      <c r="V2" s="3212"/>
      <c r="W2" s="3212"/>
      <c r="X2" s="3212"/>
      <c r="Y2" s="3212"/>
      <c r="Z2" s="3212"/>
      <c r="AA2" s="3212"/>
      <c r="AB2" s="3212"/>
      <c r="AC2" s="3212"/>
      <c r="AD2" s="3212"/>
      <c r="AE2" s="3212"/>
      <c r="AF2" s="3212"/>
      <c r="AG2" s="3212"/>
      <c r="AH2" s="3212"/>
      <c r="AI2" s="3212"/>
      <c r="AJ2" s="3212"/>
      <c r="AK2" s="3212"/>
      <c r="AL2" s="3212"/>
      <c r="AM2" s="3212"/>
      <c r="AN2" s="3212"/>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186" t="str">
        <f xml:space="preserve"> IF(T25=100%,'Sources and Basis Breakdown'!G2,'Sources and Basis Breakdown'!F2)</f>
        <v>30% PVC for New Const/
Rehabilitation
DDA/QCT
Building(s)</v>
      </c>
      <c r="U7" s="3186"/>
      <c r="V7" s="3186"/>
      <c r="W7" s="3186"/>
      <c r="X7" s="3186"/>
      <c r="Y7" s="3186" t="str">
        <f>IF(T25=100%," ",'Sources and Basis Breakdown'!G2)</f>
        <v>30% PVC for New Const/
Rehabilitation
NON-DDA/
NON-QCT Building(s)</v>
      </c>
      <c r="Z7" s="3186"/>
      <c r="AA7" s="3186"/>
      <c r="AB7" s="3186"/>
      <c r="AC7" s="3186"/>
      <c r="AD7" s="3186" t="str">
        <f xml:space="preserve"> IF(T25=100%, 'Sources and Basis Breakdown'!J2,'Sources and Basis Breakdown'!I2)</f>
        <v>30% PVC for Acquisition
DDA/QCT Building(s)</v>
      </c>
      <c r="AE7" s="3186"/>
      <c r="AF7" s="3186"/>
      <c r="AG7" s="3186"/>
      <c r="AH7" s="3186"/>
      <c r="AI7" s="3186" t="str">
        <f>IF(T25=100%," ",'Sources and Basis Breakdown'!J2)</f>
        <v>30% PVC for Acquisition
NON-DDA/
NON-QCT Building(s)</v>
      </c>
      <c r="AJ7" s="3186"/>
      <c r="AK7" s="3186"/>
      <c r="AL7" s="3186"/>
      <c r="AM7" s="3186"/>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186"/>
      <c r="U8" s="3186"/>
      <c r="V8" s="3186"/>
      <c r="W8" s="3186"/>
      <c r="X8" s="3186"/>
      <c r="Y8" s="3186"/>
      <c r="Z8" s="3186"/>
      <c r="AA8" s="3186"/>
      <c r="AB8" s="3186"/>
      <c r="AC8" s="3186"/>
      <c r="AD8" s="3186"/>
      <c r="AE8" s="3186"/>
      <c r="AF8" s="3186"/>
      <c r="AG8" s="3186"/>
      <c r="AH8" s="3186"/>
      <c r="AI8" s="3186"/>
      <c r="AJ8" s="3186"/>
      <c r="AK8" s="3186"/>
      <c r="AL8" s="3186"/>
      <c r="AM8" s="3186"/>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186"/>
      <c r="U9" s="3186"/>
      <c r="V9" s="3186"/>
      <c r="W9" s="3186"/>
      <c r="X9" s="3186"/>
      <c r="Y9" s="3186"/>
      <c r="Z9" s="3186"/>
      <c r="AA9" s="3186"/>
      <c r="AB9" s="3186"/>
      <c r="AC9" s="3186"/>
      <c r="AD9" s="3186"/>
      <c r="AE9" s="3186"/>
      <c r="AF9" s="3186"/>
      <c r="AG9" s="3186"/>
      <c r="AH9" s="3186"/>
      <c r="AI9" s="3186"/>
      <c r="AJ9" s="3186"/>
      <c r="AK9" s="3186"/>
      <c r="AL9" s="3186"/>
      <c r="AM9" s="3186"/>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186"/>
      <c r="U10" s="3186"/>
      <c r="V10" s="3186"/>
      <c r="W10" s="3186"/>
      <c r="X10" s="3186"/>
      <c r="Y10" s="3186"/>
      <c r="Z10" s="3186"/>
      <c r="AA10" s="3186"/>
      <c r="AB10" s="3186"/>
      <c r="AC10" s="3186"/>
      <c r="AD10" s="3186"/>
      <c r="AE10" s="3186"/>
      <c r="AF10" s="3186"/>
      <c r="AG10" s="3186"/>
      <c r="AH10" s="3186"/>
      <c r="AI10" s="3186"/>
      <c r="AJ10" s="3186"/>
      <c r="AK10" s="3186"/>
      <c r="AL10" s="3186"/>
      <c r="AM10" s="3186"/>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168" t="s">
        <v>395</v>
      </c>
      <c r="C11" s="3169"/>
      <c r="D11" s="3169"/>
      <c r="E11" s="3169"/>
      <c r="F11" s="3169"/>
      <c r="G11" s="3169"/>
      <c r="H11" s="3169"/>
      <c r="I11" s="3169"/>
      <c r="J11" s="3169"/>
      <c r="K11" s="3169"/>
      <c r="L11" s="3169"/>
      <c r="M11" s="3169"/>
      <c r="N11" s="3169"/>
      <c r="O11" s="3169"/>
      <c r="P11" s="3169"/>
      <c r="Q11" s="3169"/>
      <c r="R11" s="3169"/>
      <c r="S11" s="3170"/>
      <c r="T11" s="3213">
        <f ca="1">IF('Sources and Basis Breakdown'!F107=0,'Sources and Basis Breakdown'!E107,'Sources and Basis Breakdown'!F107)</f>
        <v>39990622.096823953</v>
      </c>
      <c r="U11" s="3214"/>
      <c r="V11" s="3214"/>
      <c r="W11" s="3214"/>
      <c r="X11" s="3214"/>
      <c r="Y11" s="3213">
        <f ca="1">IF(Y7=" ",0,IF('Sources and Basis Breakdown'!G107+'Sources and Basis Breakdown'!F107='Sources and Basis Breakdown'!E107,'Sources and Basis Breakdown'!G107,0))</f>
        <v>0</v>
      </c>
      <c r="Z11" s="3214"/>
      <c r="AA11" s="3214"/>
      <c r="AB11" s="3214"/>
      <c r="AC11" s="3214"/>
      <c r="AD11" s="3214">
        <f>IF('Sources and Basis Breakdown'!I107=0,'Sources and Basis Breakdown'!H107,'Sources and Basis Breakdown'!I107)</f>
        <v>0</v>
      </c>
      <c r="AE11" s="3214"/>
      <c r="AF11" s="3214"/>
      <c r="AG11" s="3214"/>
      <c r="AH11" s="3214"/>
      <c r="AI11" s="3214">
        <f>IF(Y7=" ",0,IF('Sources and Basis Breakdown'!I107+'Sources and Basis Breakdown'!J107='Sources and Basis Breakdown'!H107,'Sources and Basis Breakdown'!J107,0))</f>
        <v>0</v>
      </c>
      <c r="AJ11" s="3214"/>
      <c r="AK11" s="3214"/>
      <c r="AL11" s="3214"/>
      <c r="AM11" s="3214"/>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217" t="s">
        <v>532</v>
      </c>
      <c r="C12" s="3218"/>
      <c r="D12" s="3218"/>
      <c r="E12" s="3218"/>
      <c r="F12" s="3218"/>
      <c r="G12" s="3218"/>
      <c r="H12" s="3218"/>
      <c r="I12" s="3218"/>
      <c r="J12" s="3218"/>
      <c r="K12" s="3218"/>
      <c r="L12" s="3218"/>
      <c r="M12" s="3218"/>
      <c r="N12" s="3218"/>
      <c r="O12" s="3218"/>
      <c r="P12" s="3218"/>
      <c r="Q12" s="3218"/>
      <c r="R12" s="3218"/>
      <c r="S12" s="3219"/>
      <c r="T12" s="3206"/>
      <c r="U12" s="3207"/>
      <c r="V12" s="3207"/>
      <c r="W12" s="3207"/>
      <c r="X12" s="3208"/>
      <c r="Y12" s="3206"/>
      <c r="Z12" s="3207"/>
      <c r="AA12" s="3207"/>
      <c r="AB12" s="3207"/>
      <c r="AC12" s="3208"/>
      <c r="AD12" s="3206"/>
      <c r="AE12" s="3207"/>
      <c r="AF12" s="3207"/>
      <c r="AG12" s="3207"/>
      <c r="AH12" s="3208"/>
      <c r="AI12" s="3206"/>
      <c r="AJ12" s="3207"/>
      <c r="AK12" s="3207"/>
      <c r="AL12" s="3207"/>
      <c r="AM12" s="3208"/>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220" t="s">
        <v>533</v>
      </c>
      <c r="D13" s="3220"/>
      <c r="E13" s="3220"/>
      <c r="F13" s="3220"/>
      <c r="G13" s="3220"/>
      <c r="H13" s="3220"/>
      <c r="I13" s="3220"/>
      <c r="J13" s="3220"/>
      <c r="K13" s="3220"/>
      <c r="L13" s="3220"/>
      <c r="M13" s="3220"/>
      <c r="N13" s="3220"/>
      <c r="O13" s="3220"/>
      <c r="P13" s="3220"/>
      <c r="Q13" s="3220"/>
      <c r="R13" s="3220"/>
      <c r="S13" s="3221"/>
      <c r="T13" s="3209"/>
      <c r="U13" s="3210"/>
      <c r="V13" s="3210"/>
      <c r="W13" s="3210"/>
      <c r="X13" s="3210"/>
      <c r="Y13" s="3209"/>
      <c r="Z13" s="3210"/>
      <c r="AA13" s="3210"/>
      <c r="AB13" s="3210"/>
      <c r="AC13" s="3210"/>
      <c r="AD13" s="3210"/>
      <c r="AE13" s="3210"/>
      <c r="AF13" s="3210"/>
      <c r="AG13" s="3210"/>
      <c r="AH13" s="3210"/>
      <c r="AI13" s="3210"/>
      <c r="AJ13" s="3210"/>
      <c r="AK13" s="3210"/>
      <c r="AL13" s="3210"/>
      <c r="AM13" s="3210"/>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220" t="s">
        <v>534</v>
      </c>
      <c r="D14" s="3220"/>
      <c r="E14" s="3220"/>
      <c r="F14" s="3220"/>
      <c r="G14" s="3220"/>
      <c r="H14" s="3220"/>
      <c r="I14" s="3220"/>
      <c r="J14" s="3220"/>
      <c r="K14" s="3220"/>
      <c r="L14" s="3220"/>
      <c r="M14" s="3220"/>
      <c r="N14" s="3220"/>
      <c r="O14" s="3220"/>
      <c r="P14" s="3220"/>
      <c r="Q14" s="3220"/>
      <c r="R14" s="3220"/>
      <c r="S14" s="3221"/>
      <c r="T14" s="3195"/>
      <c r="U14" s="3196"/>
      <c r="V14" s="3196"/>
      <c r="W14" s="3196"/>
      <c r="X14" s="3196"/>
      <c r="Y14" s="3195"/>
      <c r="Z14" s="3196"/>
      <c r="AA14" s="3196"/>
      <c r="AB14" s="3196"/>
      <c r="AC14" s="3196"/>
      <c r="AD14" s="3196"/>
      <c r="AE14" s="3196"/>
      <c r="AF14" s="3196"/>
      <c r="AG14" s="3196"/>
      <c r="AH14" s="3196"/>
      <c r="AI14" s="3196"/>
      <c r="AJ14" s="3196"/>
      <c r="AK14" s="3196"/>
      <c r="AL14" s="3196"/>
      <c r="AM14" s="3196"/>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220" t="s">
        <v>535</v>
      </c>
      <c r="D15" s="3220"/>
      <c r="E15" s="3220"/>
      <c r="F15" s="3220"/>
      <c r="G15" s="3220"/>
      <c r="H15" s="3220"/>
      <c r="I15" s="3220"/>
      <c r="J15" s="3220"/>
      <c r="K15" s="3220"/>
      <c r="L15" s="3220"/>
      <c r="M15" s="3220"/>
      <c r="N15" s="3220"/>
      <c r="O15" s="3220"/>
      <c r="P15" s="3220"/>
      <c r="Q15" s="3220"/>
      <c r="R15" s="3220"/>
      <c r="S15" s="3221"/>
      <c r="T15" s="3195"/>
      <c r="U15" s="3196"/>
      <c r="V15" s="3196"/>
      <c r="W15" s="3196"/>
      <c r="X15" s="3196"/>
      <c r="Y15" s="3195"/>
      <c r="Z15" s="3196"/>
      <c r="AA15" s="3196"/>
      <c r="AB15" s="3196"/>
      <c r="AC15" s="3196"/>
      <c r="AD15" s="3196"/>
      <c r="AE15" s="3196"/>
      <c r="AF15" s="3196"/>
      <c r="AG15" s="3196"/>
      <c r="AH15" s="3196"/>
      <c r="AI15" s="3196"/>
      <c r="AJ15" s="3196"/>
      <c r="AK15" s="3196"/>
      <c r="AL15" s="3196"/>
      <c r="AM15" s="3196"/>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220" t="s">
        <v>868</v>
      </c>
      <c r="D16" s="3220"/>
      <c r="E16" s="3220"/>
      <c r="F16" s="3220"/>
      <c r="G16" s="3220"/>
      <c r="H16" s="3220"/>
      <c r="I16" s="3220"/>
      <c r="J16" s="3220"/>
      <c r="K16" s="3220"/>
      <c r="L16" s="3220"/>
      <c r="M16" s="3220"/>
      <c r="N16" s="3220"/>
      <c r="O16" s="3220"/>
      <c r="P16" s="3220"/>
      <c r="Q16" s="3220"/>
      <c r="R16" s="3220"/>
      <c r="S16" s="3221"/>
      <c r="T16" s="3195">
        <v>186883</v>
      </c>
      <c r="U16" s="3196"/>
      <c r="V16" s="3196"/>
      <c r="W16" s="3196"/>
      <c r="X16" s="3196"/>
      <c r="Y16" s="3195"/>
      <c r="Z16" s="3196"/>
      <c r="AA16" s="3196"/>
      <c r="AB16" s="3196"/>
      <c r="AC16" s="3196"/>
      <c r="AD16" s="3196"/>
      <c r="AE16" s="3196"/>
      <c r="AF16" s="3196"/>
      <c r="AG16" s="3196"/>
      <c r="AH16" s="3196"/>
      <c r="AI16" s="3196"/>
      <c r="AJ16" s="3196"/>
      <c r="AK16" s="3196"/>
      <c r="AL16" s="3196"/>
      <c r="AM16" s="3196"/>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220" t="s">
        <v>536</v>
      </c>
      <c r="D17" s="3220"/>
      <c r="E17" s="3220"/>
      <c r="F17" s="3220"/>
      <c r="G17" s="3220"/>
      <c r="H17" s="3220"/>
      <c r="I17" s="3220"/>
      <c r="J17" s="3220"/>
      <c r="K17" s="3220"/>
      <c r="L17" s="3220"/>
      <c r="M17" s="3220"/>
      <c r="N17" s="3220"/>
      <c r="O17" s="3220"/>
      <c r="P17" s="3220"/>
      <c r="Q17" s="3220"/>
      <c r="R17" s="3220"/>
      <c r="S17" s="3221"/>
      <c r="T17" s="3195"/>
      <c r="U17" s="3196"/>
      <c r="V17" s="3196"/>
      <c r="W17" s="3196"/>
      <c r="X17" s="3196"/>
      <c r="Y17" s="3195"/>
      <c r="Z17" s="3196"/>
      <c r="AA17" s="3196"/>
      <c r="AB17" s="3196"/>
      <c r="AC17" s="3196"/>
      <c r="AD17" s="3196"/>
      <c r="AE17" s="3196"/>
      <c r="AF17" s="3196"/>
      <c r="AG17" s="3196"/>
      <c r="AH17" s="3196"/>
      <c r="AI17" s="3196"/>
      <c r="AJ17" s="3196"/>
      <c r="AK17" s="3196"/>
      <c r="AL17" s="3196"/>
      <c r="AM17" s="3196"/>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215" t="s">
        <v>1043</v>
      </c>
      <c r="D18" s="3215"/>
      <c r="E18" s="3215"/>
      <c r="F18" s="3215"/>
      <c r="G18" s="3215"/>
      <c r="H18" s="3215"/>
      <c r="I18" s="3215"/>
      <c r="J18" s="3215"/>
      <c r="K18" s="3215"/>
      <c r="L18" s="3215"/>
      <c r="M18" s="3215"/>
      <c r="N18" s="3215"/>
      <c r="O18" s="3215"/>
      <c r="P18" s="3215"/>
      <c r="Q18" s="3215"/>
      <c r="R18" s="3215"/>
      <c r="S18" s="3216"/>
      <c r="T18" s="3195"/>
      <c r="U18" s="3196"/>
      <c r="V18" s="3196"/>
      <c r="W18" s="3196"/>
      <c r="X18" s="3196"/>
      <c r="Y18" s="3195"/>
      <c r="Z18" s="3196"/>
      <c r="AA18" s="3196"/>
      <c r="AB18" s="3196"/>
      <c r="AC18" s="3196"/>
      <c r="AD18" s="3196"/>
      <c r="AE18" s="3196"/>
      <c r="AF18" s="3196"/>
      <c r="AG18" s="3196"/>
      <c r="AH18" s="3196"/>
      <c r="AI18" s="3196"/>
      <c r="AJ18" s="3196"/>
      <c r="AK18" s="3196"/>
      <c r="AL18" s="3196"/>
      <c r="AM18" s="3196"/>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215" t="s">
        <v>1043</v>
      </c>
      <c r="D19" s="3215"/>
      <c r="E19" s="3215"/>
      <c r="F19" s="3215"/>
      <c r="G19" s="3215"/>
      <c r="H19" s="3215"/>
      <c r="I19" s="3215"/>
      <c r="J19" s="3215"/>
      <c r="K19" s="3215"/>
      <c r="L19" s="3215"/>
      <c r="M19" s="3215"/>
      <c r="N19" s="3215"/>
      <c r="O19" s="3215"/>
      <c r="P19" s="3215"/>
      <c r="Q19" s="3215"/>
      <c r="R19" s="3215"/>
      <c r="S19" s="3216"/>
      <c r="T19" s="3195"/>
      <c r="U19" s="3196"/>
      <c r="V19" s="3196"/>
      <c r="W19" s="3196"/>
      <c r="X19" s="3196"/>
      <c r="Y19" s="3195"/>
      <c r="Z19" s="3196"/>
      <c r="AA19" s="3196"/>
      <c r="AB19" s="3196"/>
      <c r="AC19" s="3196"/>
      <c r="AD19" s="3196"/>
      <c r="AE19" s="3196"/>
      <c r="AF19" s="3196"/>
      <c r="AG19" s="3196"/>
      <c r="AH19" s="3196"/>
      <c r="AI19" s="3196"/>
      <c r="AJ19" s="3196"/>
      <c r="AK19" s="3196"/>
      <c r="AL19" s="3196"/>
      <c r="AM19" s="3196"/>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168" t="s">
        <v>537</v>
      </c>
      <c r="C20" s="3169"/>
      <c r="D20" s="3169"/>
      <c r="E20" s="3169"/>
      <c r="F20" s="3169"/>
      <c r="G20" s="3169"/>
      <c r="H20" s="3169"/>
      <c r="I20" s="3169"/>
      <c r="J20" s="3169"/>
      <c r="K20" s="3169"/>
      <c r="L20" s="3169"/>
      <c r="M20" s="3169"/>
      <c r="N20" s="3169"/>
      <c r="O20" s="3169"/>
      <c r="P20" s="3169"/>
      <c r="Q20" s="3169"/>
      <c r="R20" s="3169"/>
      <c r="S20" s="3170"/>
      <c r="T20" s="3185">
        <f>SUM(T13:X19)</f>
        <v>186883</v>
      </c>
      <c r="U20" s="3188"/>
      <c r="V20" s="3188"/>
      <c r="W20" s="3188"/>
      <c r="X20" s="3188"/>
      <c r="Y20" s="3185">
        <f>SUM(Y13:AC19)</f>
        <v>0</v>
      </c>
      <c r="Z20" s="3188"/>
      <c r="AA20" s="3188"/>
      <c r="AB20" s="3188"/>
      <c r="AC20" s="3188"/>
      <c r="AD20" s="3183">
        <f>SUM(AD13:AH19)</f>
        <v>0</v>
      </c>
      <c r="AE20" s="3184"/>
      <c r="AF20" s="3184"/>
      <c r="AG20" s="3184"/>
      <c r="AH20" s="3185"/>
      <c r="AI20" s="3183">
        <f>SUM(AI13:AM19)</f>
        <v>0</v>
      </c>
      <c r="AJ20" s="3184"/>
      <c r="AK20" s="3184"/>
      <c r="AL20" s="3184"/>
      <c r="AM20" s="3185"/>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168" t="s">
        <v>1505</v>
      </c>
      <c r="C21" s="3169"/>
      <c r="D21" s="3169"/>
      <c r="E21" s="3169"/>
      <c r="F21" s="3169"/>
      <c r="G21" s="3169"/>
      <c r="H21" s="3169"/>
      <c r="I21" s="3169"/>
      <c r="J21" s="3169"/>
      <c r="K21" s="3169"/>
      <c r="L21" s="3169"/>
      <c r="M21" s="3169"/>
      <c r="N21" s="3169"/>
      <c r="O21" s="3169"/>
      <c r="P21" s="3169"/>
      <c r="Q21" s="3169"/>
      <c r="R21" s="3169"/>
      <c r="S21" s="3170"/>
      <c r="T21" s="3195"/>
      <c r="U21" s="3196"/>
      <c r="V21" s="3196"/>
      <c r="W21" s="3196"/>
      <c r="X21" s="3196"/>
      <c r="Y21" s="3195">
        <v>0</v>
      </c>
      <c r="Z21" s="3196"/>
      <c r="AA21" s="3196"/>
      <c r="AB21" s="3196"/>
      <c r="AC21" s="3196"/>
      <c r="AD21" s="3206"/>
      <c r="AE21" s="3207"/>
      <c r="AF21" s="3207"/>
      <c r="AG21" s="3207"/>
      <c r="AH21" s="3208"/>
      <c r="AI21" s="3206"/>
      <c r="AJ21" s="3207"/>
      <c r="AK21" s="3207"/>
      <c r="AL21" s="3207"/>
      <c r="AM21" s="3208"/>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168" t="s">
        <v>538</v>
      </c>
      <c r="C22" s="3169"/>
      <c r="D22" s="3169"/>
      <c r="E22" s="3169"/>
      <c r="F22" s="3169"/>
      <c r="G22" s="3169"/>
      <c r="H22" s="3169"/>
      <c r="I22" s="3169"/>
      <c r="J22" s="3169"/>
      <c r="K22" s="3169"/>
      <c r="L22" s="3169"/>
      <c r="M22" s="3169"/>
      <c r="N22" s="3169"/>
      <c r="O22" s="3169"/>
      <c r="P22" s="3169"/>
      <c r="Q22" s="3169"/>
      <c r="R22" s="3169"/>
      <c r="S22" s="3170"/>
      <c r="T22" s="3191">
        <f>(T20+T21)*-1</f>
        <v>-186883</v>
      </c>
      <c r="U22" s="3192"/>
      <c r="V22" s="3192"/>
      <c r="W22" s="3192"/>
      <c r="X22" s="3192"/>
      <c r="Y22" s="3191">
        <f>(Y20+Y21)*-1</f>
        <v>0</v>
      </c>
      <c r="Z22" s="3192"/>
      <c r="AA22" s="3192"/>
      <c r="AB22" s="3192"/>
      <c r="AC22" s="3192"/>
      <c r="AD22" s="3193">
        <f>(AD20)*-1</f>
        <v>0</v>
      </c>
      <c r="AE22" s="3194"/>
      <c r="AF22" s="3194"/>
      <c r="AG22" s="3194"/>
      <c r="AH22" s="3191"/>
      <c r="AI22" s="3193">
        <f>(AI20)*-1</f>
        <v>0</v>
      </c>
      <c r="AJ22" s="3194"/>
      <c r="AK22" s="3194"/>
      <c r="AL22" s="3194"/>
      <c r="AM22" s="3191"/>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24" t="s">
        <v>539</v>
      </c>
      <c r="C23" s="3225"/>
      <c r="D23" s="3225"/>
      <c r="E23" s="3225"/>
      <c r="F23" s="3225"/>
      <c r="G23" s="3225"/>
      <c r="H23" s="3225"/>
      <c r="I23" s="3225"/>
      <c r="J23" s="3225"/>
      <c r="K23" s="3225"/>
      <c r="L23" s="3225"/>
      <c r="M23" s="3225"/>
      <c r="N23" s="3225"/>
      <c r="O23" s="3225"/>
      <c r="P23" s="3225"/>
      <c r="Q23" s="3225"/>
      <c r="R23" s="3225"/>
      <c r="S23" s="3226"/>
      <c r="T23" s="3185">
        <f ca="1">T11+T22</f>
        <v>39803739.096823953</v>
      </c>
      <c r="U23" s="3188"/>
      <c r="V23" s="3188"/>
      <c r="W23" s="3188"/>
      <c r="X23" s="3188"/>
      <c r="Y23" s="3185">
        <f ca="1">Y11+Y22</f>
        <v>0</v>
      </c>
      <c r="Z23" s="3188"/>
      <c r="AA23" s="3188"/>
      <c r="AB23" s="3188"/>
      <c r="AC23" s="3188"/>
      <c r="AD23" s="3185">
        <f>AD11+AD22</f>
        <v>0</v>
      </c>
      <c r="AE23" s="3188"/>
      <c r="AF23" s="3188"/>
      <c r="AG23" s="3188"/>
      <c r="AH23" s="3188"/>
      <c r="AI23" s="3185">
        <f>AI11+AI22</f>
        <v>0</v>
      </c>
      <c r="AJ23" s="3188"/>
      <c r="AK23" s="3188"/>
      <c r="AL23" s="3188"/>
      <c r="AM23" s="3188"/>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168" t="s">
        <v>1044</v>
      </c>
      <c r="C24" s="3169"/>
      <c r="D24" s="3169"/>
      <c r="E24" s="3169"/>
      <c r="F24" s="3169"/>
      <c r="G24" s="3169"/>
      <c r="H24" s="3169"/>
      <c r="I24" s="3169"/>
      <c r="J24" s="3169"/>
      <c r="K24" s="3169"/>
      <c r="L24" s="3169"/>
      <c r="M24" s="3169"/>
      <c r="N24" s="3169"/>
      <c r="O24" s="3169"/>
      <c r="P24" s="3169"/>
      <c r="Q24" s="3169"/>
      <c r="R24" s="3169"/>
      <c r="S24" s="3170"/>
      <c r="T24" s="3183">
        <f>Application!AJ1032</f>
        <v>57164521.040000007</v>
      </c>
      <c r="U24" s="3184"/>
      <c r="V24" s="3184"/>
      <c r="W24" s="3184"/>
      <c r="X24" s="3184"/>
      <c r="Y24" s="3184"/>
      <c r="Z24" s="3184"/>
      <c r="AA24" s="3184"/>
      <c r="AB24" s="3184"/>
      <c r="AC24" s="3184"/>
      <c r="AD24" s="3184"/>
      <c r="AE24" s="3184"/>
      <c r="AF24" s="3184"/>
      <c r="AG24" s="3184"/>
      <c r="AH24" s="3184"/>
      <c r="AI24" s="3184"/>
      <c r="AJ24" s="3184"/>
      <c r="AK24" s="3184"/>
      <c r="AL24" s="3184"/>
      <c r="AM24" s="3185"/>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27" t="s">
        <v>1506</v>
      </c>
      <c r="C25" s="3228"/>
      <c r="D25" s="3228"/>
      <c r="E25" s="3228"/>
      <c r="F25" s="3228"/>
      <c r="G25" s="3228"/>
      <c r="H25" s="3228"/>
      <c r="I25" s="3228"/>
      <c r="J25" s="3228"/>
      <c r="K25" s="3228"/>
      <c r="L25" s="3228"/>
      <c r="M25" s="3228"/>
      <c r="N25" s="3228"/>
      <c r="O25" s="3228"/>
      <c r="P25" s="3228"/>
      <c r="Q25" s="3228"/>
      <c r="R25" s="3228"/>
      <c r="S25" s="3229"/>
      <c r="T25" s="3201">
        <f>IF(OR(Application!T195="yes",Application!T194="yes"),1.3,1)</f>
        <v>1.3</v>
      </c>
      <c r="U25" s="3202"/>
      <c r="V25" s="3202"/>
      <c r="W25" s="3202"/>
      <c r="X25" s="3202"/>
      <c r="Y25" s="3201">
        <v>1</v>
      </c>
      <c r="Z25" s="3202"/>
      <c r="AA25" s="3202"/>
      <c r="AB25" s="3202"/>
      <c r="AC25" s="3202"/>
      <c r="AD25" s="3201">
        <v>1</v>
      </c>
      <c r="AE25" s="3202"/>
      <c r="AF25" s="3202"/>
      <c r="AG25" s="3202"/>
      <c r="AH25" s="3203"/>
      <c r="AI25" s="3201">
        <v>1</v>
      </c>
      <c r="AJ25" s="3202"/>
      <c r="AK25" s="3202"/>
      <c r="AL25" s="3202"/>
      <c r="AM25" s="3203"/>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168" t="s">
        <v>540</v>
      </c>
      <c r="C26" s="3169"/>
      <c r="D26" s="3169"/>
      <c r="E26" s="3169"/>
      <c r="F26" s="3169"/>
      <c r="G26" s="3169"/>
      <c r="H26" s="3169"/>
      <c r="I26" s="3169"/>
      <c r="J26" s="3169"/>
      <c r="K26" s="3169"/>
      <c r="L26" s="3169"/>
      <c r="M26" s="3169"/>
      <c r="N26" s="3169"/>
      <c r="O26" s="3169"/>
      <c r="P26" s="3169"/>
      <c r="Q26" s="3169"/>
      <c r="R26" s="3169"/>
      <c r="S26" s="3170"/>
      <c r="T26" s="3204">
        <f ca="1">T23*T25</f>
        <v>51744860.82587114</v>
      </c>
      <c r="U26" s="3205"/>
      <c r="V26" s="3205"/>
      <c r="W26" s="3205"/>
      <c r="X26" s="3205"/>
      <c r="Y26" s="3204">
        <f ca="1">Y23*Y25</f>
        <v>0</v>
      </c>
      <c r="Z26" s="3205"/>
      <c r="AA26" s="3205"/>
      <c r="AB26" s="3205"/>
      <c r="AC26" s="3205"/>
      <c r="AD26" s="3204">
        <f>AD23*AD25</f>
        <v>0</v>
      </c>
      <c r="AE26" s="3205"/>
      <c r="AF26" s="3205"/>
      <c r="AG26" s="3205"/>
      <c r="AH26" s="3205"/>
      <c r="AI26" s="3204">
        <f>AI23*AI25</f>
        <v>0</v>
      </c>
      <c r="AJ26" s="3205"/>
      <c r="AK26" s="3205"/>
      <c r="AL26" s="3205"/>
      <c r="AM26" s="3205"/>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30" t="s">
        <v>449</v>
      </c>
      <c r="C27" s="3231"/>
      <c r="D27" s="3231"/>
      <c r="E27" s="3231"/>
      <c r="F27" s="3231"/>
      <c r="G27" s="3231"/>
      <c r="H27" s="3231"/>
      <c r="I27" s="3231"/>
      <c r="J27" s="3231"/>
      <c r="K27" s="3231"/>
      <c r="L27" s="3231"/>
      <c r="M27" s="3231"/>
      <c r="N27" s="3231"/>
      <c r="O27" s="3231"/>
      <c r="P27" s="3231"/>
      <c r="Q27" s="3231"/>
      <c r="R27" s="3231"/>
      <c r="S27" s="3232"/>
      <c r="T27" s="3199">
        <f>Application!$AG$444</f>
        <v>1</v>
      </c>
      <c r="U27" s="3200"/>
      <c r="V27" s="3200"/>
      <c r="W27" s="3200"/>
      <c r="X27" s="3200"/>
      <c r="Y27" s="3199">
        <f>Application!$AG$444</f>
        <v>1</v>
      </c>
      <c r="Z27" s="3200"/>
      <c r="AA27" s="3200"/>
      <c r="AB27" s="3200"/>
      <c r="AC27" s="3200"/>
      <c r="AD27" s="3199">
        <f>Application!$AG$444</f>
        <v>1</v>
      </c>
      <c r="AE27" s="3200"/>
      <c r="AF27" s="3200"/>
      <c r="AG27" s="3200"/>
      <c r="AH27" s="3200"/>
      <c r="AI27" s="3199">
        <f>Application!$AG$444</f>
        <v>1</v>
      </c>
      <c r="AJ27" s="3200"/>
      <c r="AK27" s="3200"/>
      <c r="AL27" s="3200"/>
      <c r="AM27" s="3200"/>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168" t="s">
        <v>541</v>
      </c>
      <c r="C28" s="3169"/>
      <c r="D28" s="3169"/>
      <c r="E28" s="3169"/>
      <c r="F28" s="3169"/>
      <c r="G28" s="3169"/>
      <c r="H28" s="3169"/>
      <c r="I28" s="3169"/>
      <c r="J28" s="3169"/>
      <c r="K28" s="3169"/>
      <c r="L28" s="3169"/>
      <c r="M28" s="3169"/>
      <c r="N28" s="3169"/>
      <c r="O28" s="3169"/>
      <c r="P28" s="3169"/>
      <c r="Q28" s="3169"/>
      <c r="R28" s="3169"/>
      <c r="S28" s="3170"/>
      <c r="T28" s="3197">
        <f ca="1">IF(ISERROR((T26*T27)),0,(T26*T27))</f>
        <v>51744860.82587114</v>
      </c>
      <c r="U28" s="3198"/>
      <c r="V28" s="3198"/>
      <c r="W28" s="3198"/>
      <c r="X28" s="3198"/>
      <c r="Y28" s="3197">
        <f ca="1">IF(ISERROR((Y26*Y27)),0,(Y26*Y27))</f>
        <v>0</v>
      </c>
      <c r="Z28" s="3198"/>
      <c r="AA28" s="3198"/>
      <c r="AB28" s="3198"/>
      <c r="AC28" s="3198"/>
      <c r="AD28" s="3197">
        <f>IF(ISERROR((AD26*AD27)),0,(AD26*AD27))</f>
        <v>0</v>
      </c>
      <c r="AE28" s="3198"/>
      <c r="AF28" s="3198"/>
      <c r="AG28" s="3198"/>
      <c r="AH28" s="3198"/>
      <c r="AI28" s="3197">
        <f>IF(ISERROR((AI26*AI27)),0,(AI26*AI27))</f>
        <v>0</v>
      </c>
      <c r="AJ28" s="3198"/>
      <c r="AK28" s="3198"/>
      <c r="AL28" s="3198"/>
      <c r="AM28" s="3198"/>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168" t="s">
        <v>558</v>
      </c>
      <c r="C29" s="3169"/>
      <c r="D29" s="3169"/>
      <c r="E29" s="3169"/>
      <c r="F29" s="3169"/>
      <c r="G29" s="3169"/>
      <c r="H29" s="3169"/>
      <c r="I29" s="3169"/>
      <c r="J29" s="3169"/>
      <c r="K29" s="3169"/>
      <c r="L29" s="3169"/>
      <c r="M29" s="3169"/>
      <c r="N29" s="3169"/>
      <c r="O29" s="3169"/>
      <c r="P29" s="3169"/>
      <c r="Q29" s="3169"/>
      <c r="R29" s="3169"/>
      <c r="S29" s="3170"/>
      <c r="T29" s="3183">
        <f ca="1">T28+Y28+AD28+AI28</f>
        <v>51744860.82587114</v>
      </c>
      <c r="U29" s="3184"/>
      <c r="V29" s="3184"/>
      <c r="W29" s="3184"/>
      <c r="X29" s="3184"/>
      <c r="Y29" s="3184"/>
      <c r="Z29" s="3184"/>
      <c r="AA29" s="3184"/>
      <c r="AB29" s="3184"/>
      <c r="AC29" s="3184"/>
      <c r="AD29" s="3184"/>
      <c r="AE29" s="3184"/>
      <c r="AF29" s="3184"/>
      <c r="AG29" s="3184"/>
      <c r="AH29" s="3184"/>
      <c r="AI29" s="3184"/>
      <c r="AJ29" s="3184"/>
      <c r="AK29" s="3184"/>
      <c r="AL29" s="3184"/>
      <c r="AM29" s="3185"/>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190" t="s">
        <v>1508</v>
      </c>
      <c r="C30" s="3190"/>
      <c r="D30" s="3190"/>
      <c r="E30" s="3190"/>
      <c r="F30" s="3190"/>
      <c r="G30" s="3190"/>
      <c r="H30" s="3190"/>
      <c r="I30" s="3190"/>
      <c r="J30" s="3190"/>
      <c r="K30" s="3190"/>
      <c r="L30" s="3190"/>
      <c r="M30" s="3190"/>
      <c r="N30" s="3190"/>
      <c r="O30" s="3190"/>
      <c r="P30" s="3190"/>
      <c r="Q30" s="3190"/>
      <c r="R30" s="3190"/>
      <c r="S30" s="3190"/>
      <c r="T30" s="3190"/>
      <c r="U30" s="3190"/>
      <c r="V30" s="3190"/>
      <c r="W30" s="3190"/>
      <c r="X30" s="3190"/>
      <c r="Y30" s="3190"/>
      <c r="Z30" s="3190"/>
      <c r="AA30" s="3190"/>
      <c r="AB30" s="3190"/>
      <c r="AC30" s="3190"/>
      <c r="AD30" s="3190"/>
      <c r="AE30" s="3190"/>
      <c r="AF30" s="3190"/>
      <c r="AG30" s="3190"/>
      <c r="AH30" s="3190"/>
      <c r="AI30" s="3190"/>
      <c r="AJ30" s="3190"/>
      <c r="AK30" s="3190"/>
      <c r="AL30" s="3190"/>
      <c r="AM30" s="3190"/>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190" t="s">
        <v>1507</v>
      </c>
      <c r="C31" s="3190"/>
      <c r="D31" s="3190"/>
      <c r="E31" s="3190"/>
      <c r="F31" s="3190"/>
      <c r="G31" s="3190"/>
      <c r="H31" s="3190"/>
      <c r="I31" s="3190"/>
      <c r="J31" s="3190"/>
      <c r="K31" s="3190"/>
      <c r="L31" s="3190"/>
      <c r="M31" s="3190"/>
      <c r="N31" s="3190"/>
      <c r="O31" s="3190"/>
      <c r="P31" s="3190"/>
      <c r="Q31" s="3190"/>
      <c r="R31" s="3190"/>
      <c r="S31" s="3190"/>
      <c r="T31" s="3190"/>
      <c r="U31" s="3190"/>
      <c r="V31" s="3190"/>
      <c r="W31" s="3190"/>
      <c r="X31" s="3190"/>
      <c r="Y31" s="3190"/>
      <c r="Z31" s="3190"/>
      <c r="AA31" s="3190"/>
      <c r="AB31" s="3190"/>
      <c r="AC31" s="3190"/>
      <c r="AD31" s="3190"/>
      <c r="AE31" s="3190"/>
      <c r="AF31" s="3190"/>
      <c r="AG31" s="3190"/>
      <c r="AH31" s="3190"/>
      <c r="AI31" s="3190"/>
      <c r="AJ31" s="3190"/>
      <c r="AK31" s="3190"/>
      <c r="AL31" s="3190"/>
      <c r="AM31" s="3190"/>
      <c r="AN31" s="816"/>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793"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186" t="s">
        <v>1350</v>
      </c>
      <c r="Z35" s="3186"/>
      <c r="AA35" s="3186"/>
      <c r="AB35" s="3186"/>
      <c r="AC35" s="3186"/>
      <c r="AD35" s="3187" t="s">
        <v>382</v>
      </c>
      <c r="AE35" s="3187"/>
      <c r="AF35" s="3187"/>
      <c r="AG35" s="3187"/>
      <c r="AH35" s="3187"/>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186"/>
      <c r="Z36" s="3186"/>
      <c r="AA36" s="3186"/>
      <c r="AB36" s="3186"/>
      <c r="AC36" s="3186"/>
      <c r="AD36" s="3187"/>
      <c r="AE36" s="3187"/>
      <c r="AF36" s="3187"/>
      <c r="AG36" s="3187"/>
      <c r="AH36" s="3187"/>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186"/>
      <c r="Z37" s="3186"/>
      <c r="AA37" s="3186"/>
      <c r="AB37" s="3186"/>
      <c r="AC37" s="3186"/>
      <c r="AD37" s="3187"/>
      <c r="AE37" s="3187"/>
      <c r="AF37" s="3187"/>
      <c r="AG37" s="3187"/>
      <c r="AH37" s="3187"/>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168" t="s">
        <v>541</v>
      </c>
      <c r="C38" s="3169"/>
      <c r="D38" s="3169"/>
      <c r="E38" s="3169"/>
      <c r="F38" s="3169"/>
      <c r="G38" s="3169"/>
      <c r="H38" s="3169"/>
      <c r="I38" s="3169"/>
      <c r="J38" s="3169"/>
      <c r="K38" s="3169"/>
      <c r="L38" s="3169"/>
      <c r="M38" s="3169"/>
      <c r="N38" s="3169"/>
      <c r="O38" s="3169"/>
      <c r="P38" s="3169"/>
      <c r="Q38" s="3169"/>
      <c r="R38" s="3169"/>
      <c r="S38" s="3169"/>
      <c r="T38" s="3169"/>
      <c r="U38" s="3169"/>
      <c r="V38" s="3169"/>
      <c r="W38" s="3169"/>
      <c r="X38" s="3170"/>
      <c r="Y38" s="3188">
        <f ca="1">IF(T24&gt;=(T23+Y23+AD23+AI23),T28+Y28,0)</f>
        <v>51744860.82587114</v>
      </c>
      <c r="Z38" s="3188"/>
      <c r="AA38" s="3188"/>
      <c r="AB38" s="3188"/>
      <c r="AC38" s="3188"/>
      <c r="AD38" s="3188">
        <f ca="1">IF(T24&gt;=(T23+Y23+AD23+AI23),AD28+AI28,0)</f>
        <v>0</v>
      </c>
      <c r="AE38" s="3188"/>
      <c r="AF38" s="3188"/>
      <c r="AG38" s="3188"/>
      <c r="AH38" s="3188"/>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168" t="s">
        <v>2198</v>
      </c>
      <c r="C39" s="3169"/>
      <c r="D39" s="3169"/>
      <c r="E39" s="3169"/>
      <c r="F39" s="3169"/>
      <c r="G39" s="3169"/>
      <c r="H39" s="3169"/>
      <c r="I39" s="3169"/>
      <c r="J39" s="3169"/>
      <c r="K39" s="3169"/>
      <c r="L39" s="3169"/>
      <c r="M39" s="3169"/>
      <c r="N39" s="3169"/>
      <c r="O39" s="3169"/>
      <c r="P39" s="3169"/>
      <c r="Q39" s="3169"/>
      <c r="R39" s="3169"/>
      <c r="S39" s="3169"/>
      <c r="T39" s="3169"/>
      <c r="U39" s="3169"/>
      <c r="V39" s="3169"/>
      <c r="W39" s="3169"/>
      <c r="X39" s="3170"/>
      <c r="Y39" s="3189">
        <v>0.04</v>
      </c>
      <c r="Z39" s="3189"/>
      <c r="AA39" s="3189"/>
      <c r="AB39" s="3189"/>
      <c r="AC39" s="3189"/>
      <c r="AD39" s="3189">
        <v>0.04</v>
      </c>
      <c r="AE39" s="3189"/>
      <c r="AF39" s="3189"/>
      <c r="AG39" s="3189"/>
      <c r="AH39" s="3189"/>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168" t="s">
        <v>679</v>
      </c>
      <c r="C40" s="3169"/>
      <c r="D40" s="3169"/>
      <c r="E40" s="3169"/>
      <c r="F40" s="3169"/>
      <c r="G40" s="3169"/>
      <c r="H40" s="3169"/>
      <c r="I40" s="3169"/>
      <c r="J40" s="3169"/>
      <c r="K40" s="3169"/>
      <c r="L40" s="3169"/>
      <c r="M40" s="3169"/>
      <c r="N40" s="3169"/>
      <c r="O40" s="3169"/>
      <c r="P40" s="3169"/>
      <c r="Q40" s="3169"/>
      <c r="R40" s="3169"/>
      <c r="S40" s="3169"/>
      <c r="T40" s="3169"/>
      <c r="U40" s="3169"/>
      <c r="V40" s="3169"/>
      <c r="W40" s="3169"/>
      <c r="X40" s="3170"/>
      <c r="Y40" s="3188">
        <f ca="1">ROUND(Y38*Y39,0)</f>
        <v>2069794</v>
      </c>
      <c r="Z40" s="3188"/>
      <c r="AA40" s="3188"/>
      <c r="AB40" s="3188"/>
      <c r="AC40" s="3188"/>
      <c r="AD40" s="3185">
        <f ca="1">ROUND(AD38*AD39,0)</f>
        <v>0</v>
      </c>
      <c r="AE40" s="3188"/>
      <c r="AF40" s="3188"/>
      <c r="AG40" s="3188"/>
      <c r="AH40" s="3188"/>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168" t="s">
        <v>680</v>
      </c>
      <c r="C41" s="3169"/>
      <c r="D41" s="3169"/>
      <c r="E41" s="3169"/>
      <c r="F41" s="3169"/>
      <c r="G41" s="3169"/>
      <c r="H41" s="3169"/>
      <c r="I41" s="3169"/>
      <c r="J41" s="3169"/>
      <c r="K41" s="3169"/>
      <c r="L41" s="3169"/>
      <c r="M41" s="3169"/>
      <c r="N41" s="3169"/>
      <c r="O41" s="3169"/>
      <c r="P41" s="3169"/>
      <c r="Q41" s="3169"/>
      <c r="R41" s="3169"/>
      <c r="S41" s="3169"/>
      <c r="T41" s="3169"/>
      <c r="U41" s="3169"/>
      <c r="V41" s="3169"/>
      <c r="W41" s="3169"/>
      <c r="X41" s="3170"/>
      <c r="Y41" s="3233">
        <f ca="1">Y40+AD40</f>
        <v>2069794</v>
      </c>
      <c r="Z41" s="3234"/>
      <c r="AA41" s="3234"/>
      <c r="AB41" s="3234"/>
      <c r="AC41" s="3234"/>
      <c r="AD41" s="3234"/>
      <c r="AE41" s="3234"/>
      <c r="AF41" s="3234"/>
      <c r="AG41" s="3234"/>
      <c r="AH41" s="3235"/>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551"/>
      <c r="C42" s="1551"/>
      <c r="D42" s="1551"/>
      <c r="E42" s="1551"/>
      <c r="F42" s="1551"/>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182" t="s">
        <v>1521</v>
      </c>
      <c r="B44" s="3182"/>
      <c r="C44" s="3182"/>
      <c r="D44" s="3182"/>
      <c r="E44" s="3182"/>
      <c r="F44" s="3182"/>
      <c r="G44" s="3182"/>
      <c r="H44" s="3182"/>
      <c r="I44" s="3182"/>
      <c r="J44" s="3182"/>
      <c r="K44" s="3182"/>
      <c r="L44" s="3182"/>
      <c r="M44" s="3182"/>
      <c r="N44" s="3182"/>
      <c r="O44" s="3182"/>
      <c r="P44" s="3182"/>
      <c r="Q44" s="3182"/>
      <c r="R44" s="3182"/>
      <c r="S44" s="3182"/>
      <c r="T44" s="3182"/>
      <c r="U44" s="3182"/>
      <c r="V44" s="3182"/>
      <c r="W44" s="3182"/>
      <c r="X44" s="3182"/>
      <c r="Y44" s="3182"/>
      <c r="Z44" s="3182"/>
      <c r="AA44" s="3182"/>
      <c r="AB44" s="3182"/>
      <c r="AC44" s="3182"/>
      <c r="AD44" s="3182"/>
      <c r="AE44" s="3182"/>
      <c r="AF44" s="3182"/>
      <c r="AG44" s="3182"/>
      <c r="AH44" s="3182"/>
      <c r="AI44" s="3182"/>
      <c r="AJ44" s="3182"/>
      <c r="AK44" s="3182"/>
      <c r="AL44" s="3182"/>
      <c r="AM44" s="3182"/>
      <c r="AN44" s="3182"/>
      <c r="AO44" s="3182"/>
      <c r="AP44" s="3182"/>
      <c r="AQ44" s="3182"/>
      <c r="AR44" s="3182"/>
      <c r="AS44" s="3182"/>
      <c r="AT44" s="3182"/>
      <c r="AU44" s="3182"/>
      <c r="AV44" s="3182"/>
      <c r="AW44" s="3182"/>
      <c r="AX44" s="3182"/>
      <c r="AY44" s="3182"/>
      <c r="AZ44" s="3182"/>
      <c r="BA44" s="3182"/>
      <c r="BB44" s="3182"/>
      <c r="BC44" s="3182"/>
      <c r="BD44" s="3182"/>
      <c r="BE44" s="3182"/>
      <c r="BF44" s="3182"/>
      <c r="BG44" s="3182"/>
      <c r="BH44" s="3182"/>
      <c r="BI44" s="3182"/>
      <c r="BJ44" s="3182"/>
      <c r="BK44" s="3182"/>
      <c r="BL44" s="3182"/>
      <c r="BM44" s="3182"/>
      <c r="BN44" s="3182"/>
      <c r="BO44" s="3182"/>
      <c r="BP44" s="3182"/>
      <c r="BQ44" s="3182"/>
      <c r="BR44" s="3182"/>
      <c r="BS44" s="3182"/>
      <c r="BT44" s="3182"/>
      <c r="BU44" s="3182"/>
      <c r="BV44" s="3182"/>
      <c r="BW44" s="3182"/>
      <c r="BX44" s="3182"/>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176">
        <f ca="1">'Sources and Uses Budget'!B105-'Sources and Uses Budget'!B15</f>
        <v>45364634.187312514</v>
      </c>
      <c r="AC47" s="3177"/>
      <c r="AD47" s="3177"/>
      <c r="AE47" s="3177"/>
      <c r="AF47" s="3178"/>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176">
        <f>Application!AO649-MIN('Sources and Uses Budget'!B15,Application!AG394)</f>
        <v>26147252.014939837</v>
      </c>
      <c r="AC48" s="3177"/>
      <c r="AD48" s="3177"/>
      <c r="AE48" s="3177"/>
      <c r="AF48" s="3178"/>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176">
        <f ca="1">AB47-AB48</f>
        <v>19217382.172372676</v>
      </c>
      <c r="AC49" s="3177"/>
      <c r="AD49" s="3177"/>
      <c r="AE49" s="3177"/>
      <c r="AF49" s="3178"/>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164">
        <f>'[9]main spreadsheet'!$DI$65+0.0000004</f>
        <v>0.9284685642170627</v>
      </c>
      <c r="AC50" s="3165"/>
      <c r="AD50" s="3165"/>
      <c r="AE50" s="3165"/>
      <c r="AF50" s="3166"/>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175" t="s">
        <v>2447</v>
      </c>
      <c r="F51" s="3175"/>
      <c r="G51" s="3175"/>
      <c r="H51" s="3175"/>
      <c r="I51" s="3175"/>
      <c r="J51" s="3175"/>
      <c r="K51" s="3175"/>
      <c r="L51" s="3175"/>
      <c r="M51" s="3175"/>
      <c r="N51" s="3175"/>
      <c r="O51" s="3175"/>
      <c r="P51" s="3175"/>
      <c r="Q51" s="3175"/>
      <c r="R51" s="3175"/>
      <c r="S51" s="3175"/>
      <c r="T51" s="3175"/>
      <c r="U51" s="3175"/>
      <c r="V51" s="3175"/>
      <c r="W51" s="3175"/>
      <c r="X51" s="3175"/>
      <c r="Y51" s="3175"/>
      <c r="Z51" s="3175"/>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175"/>
      <c r="F52" s="3175"/>
      <c r="G52" s="3175"/>
      <c r="H52" s="3175"/>
      <c r="I52" s="3175"/>
      <c r="J52" s="3175"/>
      <c r="K52" s="3175"/>
      <c r="L52" s="3175"/>
      <c r="M52" s="3175"/>
      <c r="N52" s="3175"/>
      <c r="O52" s="3175"/>
      <c r="P52" s="3175"/>
      <c r="Q52" s="3175"/>
      <c r="R52" s="3175"/>
      <c r="S52" s="3175"/>
      <c r="T52" s="3175"/>
      <c r="U52" s="3175"/>
      <c r="V52" s="3175"/>
      <c r="W52" s="3175"/>
      <c r="X52" s="3175"/>
      <c r="Y52" s="3175"/>
      <c r="Z52" s="3175"/>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176">
        <f ca="1">ROUND(IF(ISERROR((AB49/AB50)),0,(AB49/AB50)),0)</f>
        <v>20697935</v>
      </c>
      <c r="AC54" s="3177"/>
      <c r="AD54" s="3177"/>
      <c r="AE54" s="3177"/>
      <c r="AF54" s="3178"/>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176">
        <f ca="1">(AB54/10)</f>
        <v>2069793.5</v>
      </c>
      <c r="AC55" s="3177"/>
      <c r="AD55" s="3177"/>
      <c r="AE55" s="3177"/>
      <c r="AF55" s="3178"/>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179">
        <f ca="1">(IF((Y41&lt;AB55),Y41,AB55))</f>
        <v>2069793.5</v>
      </c>
      <c r="AC56" s="3180"/>
      <c r="AD56" s="3180"/>
      <c r="AE56" s="3180"/>
      <c r="AF56" s="3181"/>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176">
        <f ca="1">ROUND((10*AB56*AB50),0)</f>
        <v>19217382</v>
      </c>
      <c r="AC57" s="3177"/>
      <c r="AD57" s="3177"/>
      <c r="AE57" s="3177"/>
      <c r="AF57" s="3178"/>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160">
        <f ca="1">AB49-AB57</f>
        <v>0.17237267643213272</v>
      </c>
      <c r="AC59" s="3160"/>
      <c r="AD59" s="3160"/>
      <c r="AE59" s="3160"/>
      <c r="AF59" s="3160"/>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182" t="str">
        <f>IF(Application!AP204="yes","Farmworker State Credit", "State Credit" )</f>
        <v>State Credit</v>
      </c>
      <c r="B61" s="3182"/>
      <c r="C61" s="3182"/>
      <c r="D61" s="3182"/>
      <c r="E61" s="3182"/>
      <c r="F61" s="3182"/>
      <c r="G61" s="3182"/>
      <c r="H61" s="3182"/>
      <c r="I61" s="3182"/>
      <c r="J61" s="3182"/>
      <c r="K61" s="3182"/>
      <c r="L61" s="3182"/>
      <c r="M61" s="3182"/>
      <c r="N61" s="3182"/>
      <c r="O61" s="3182"/>
      <c r="P61" s="3182"/>
      <c r="Q61" s="3182"/>
      <c r="R61" s="3182"/>
      <c r="S61" s="3182"/>
      <c r="T61" s="3182"/>
      <c r="U61" s="3182"/>
      <c r="V61" s="3182"/>
      <c r="W61" s="3182"/>
      <c r="X61" s="3182"/>
      <c r="Y61" s="3182"/>
      <c r="Z61" s="3182"/>
      <c r="AA61" s="3182"/>
      <c r="AB61" s="3182"/>
      <c r="AC61" s="3182"/>
      <c r="AD61" s="3182"/>
      <c r="AE61" s="3182"/>
      <c r="AF61" s="3182"/>
      <c r="AG61" s="3182"/>
      <c r="AH61" s="3182"/>
      <c r="AI61" s="3182"/>
      <c r="AJ61" s="3182"/>
      <c r="AK61" s="3182"/>
      <c r="AL61" s="3182"/>
      <c r="AM61" s="3182"/>
      <c r="AN61" s="3182"/>
      <c r="AO61" s="3182"/>
      <c r="AP61" s="3182"/>
      <c r="AQ61" s="3182"/>
      <c r="AR61" s="3182"/>
      <c r="AS61" s="3182"/>
      <c r="AT61" s="3182"/>
      <c r="AU61" s="3182"/>
      <c r="AV61" s="3182"/>
      <c r="AW61" s="3182"/>
      <c r="AX61" s="3182"/>
      <c r="AY61" s="3182"/>
      <c r="AZ61" s="3182"/>
      <c r="BA61" s="3182"/>
      <c r="BB61" s="3182"/>
      <c r="BC61" s="3182"/>
      <c r="BD61" s="3182"/>
      <c r="BE61" s="3182"/>
      <c r="BF61" s="3182"/>
      <c r="BG61" s="3182"/>
      <c r="BH61" s="3182"/>
      <c r="BI61" s="3182"/>
      <c r="BJ61" s="3182"/>
      <c r="BK61" s="3182"/>
      <c r="BL61" s="3182"/>
      <c r="BM61" s="3182"/>
      <c r="BN61" s="3182"/>
      <c r="BO61" s="3182"/>
      <c r="BP61" s="3182"/>
      <c r="BQ61" s="3182"/>
      <c r="BR61" s="3182"/>
      <c r="BS61" s="3182"/>
      <c r="BT61" s="3182"/>
      <c r="BU61" s="3182"/>
      <c r="BV61" s="3182"/>
      <c r="BW61" s="3182"/>
      <c r="BX61" s="3182"/>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171" t="s">
        <v>1072</v>
      </c>
      <c r="Z63" s="3171"/>
      <c r="AA63" s="3171"/>
      <c r="AB63" s="3171"/>
      <c r="AC63" s="3171"/>
      <c r="AD63" s="3171" t="s">
        <v>382</v>
      </c>
      <c r="AE63" s="3171"/>
      <c r="AF63" s="3171"/>
      <c r="AG63" s="3171"/>
      <c r="AH63" s="3171"/>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172">
        <f ca="1">IF(Application!Z204="(select)",0,((T23*T27)+Y28))</f>
        <v>39803739.096823953</v>
      </c>
      <c r="Z64" s="3173"/>
      <c r="AA64" s="3173"/>
      <c r="AB64" s="3173"/>
      <c r="AC64" s="3174"/>
      <c r="AD64" s="3172">
        <f>IF(AND(Application!AP204="yes",Application!M357="yes"),AD28+AI28,0)</f>
        <v>0</v>
      </c>
      <c r="AE64" s="3173"/>
      <c r="AF64" s="3173"/>
      <c r="AG64" s="3173"/>
      <c r="AH64" s="3174"/>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675" t="s">
        <v>2443</v>
      </c>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675" t="s">
        <v>2444</v>
      </c>
      <c r="F66" s="1552"/>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G66" s="1552"/>
      <c r="AH66" s="1552"/>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161">
        <f>IF(Application!AP204="yes",0.75,IF(Application!Z203="15% set-aside",0.13,IF(Application!Z203="15% set-aside with qualifying low value rehab",0.95,0.3)))</f>
        <v>0.3</v>
      </c>
      <c r="Z67" s="3161"/>
      <c r="AA67" s="3161"/>
      <c r="AB67" s="3161"/>
      <c r="AC67" s="3161"/>
      <c r="AD67" s="3161">
        <f>IF(Application!AP204="yes",0.75,IF(Application!Z203="15% set-aside with qualifying low value rehab", 0.95,0.13))</f>
        <v>0.13</v>
      </c>
      <c r="AE67" s="3161"/>
      <c r="AF67" s="3161"/>
      <c r="AG67" s="3161"/>
      <c r="AH67" s="3161"/>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162">
        <f ca="1">ROUND(Y64*Y67,0)</f>
        <v>11941122</v>
      </c>
      <c r="Z68" s="3163"/>
      <c r="AA68" s="3163"/>
      <c r="AB68" s="3163"/>
      <c r="AC68" s="3163"/>
      <c r="AD68" s="3162" t="str">
        <f>IF(Application!D210="At-Risk",AD64*AD67,"$0")</f>
        <v>$0</v>
      </c>
      <c r="AE68" s="3163"/>
      <c r="AF68" s="3163"/>
      <c r="AG68" s="3163"/>
      <c r="AH68" s="3163"/>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164"/>
      <c r="AC71" s="3165"/>
      <c r="AD71" s="3165"/>
      <c r="AE71" s="3165"/>
      <c r="AF71" s="3166"/>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167" t="s">
        <v>1493</v>
      </c>
      <c r="F72" s="3167"/>
      <c r="G72" s="3167"/>
      <c r="H72" s="3167"/>
      <c r="I72" s="3167"/>
      <c r="J72" s="3167"/>
      <c r="K72" s="3167"/>
      <c r="L72" s="3167"/>
      <c r="M72" s="3167"/>
      <c r="N72" s="3167"/>
      <c r="O72" s="3167"/>
      <c r="P72" s="3167"/>
      <c r="Q72" s="3167"/>
      <c r="R72" s="3167"/>
      <c r="S72" s="3167"/>
      <c r="T72" s="3167"/>
      <c r="U72" s="3167"/>
      <c r="V72" s="3167"/>
      <c r="W72" s="3167"/>
      <c r="X72" s="3167"/>
      <c r="Y72" s="3167"/>
      <c r="Z72" s="3167"/>
      <c r="AA72" s="3167"/>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167"/>
      <c r="F73" s="3167"/>
      <c r="G73" s="3167"/>
      <c r="H73" s="3167"/>
      <c r="I73" s="3167"/>
      <c r="J73" s="3167"/>
      <c r="K73" s="3167"/>
      <c r="L73" s="3167"/>
      <c r="M73" s="3167"/>
      <c r="N73" s="3167"/>
      <c r="O73" s="3167"/>
      <c r="P73" s="3167"/>
      <c r="Q73" s="3167"/>
      <c r="R73" s="3167"/>
      <c r="S73" s="3167"/>
      <c r="T73" s="3167"/>
      <c r="U73" s="3167"/>
      <c r="V73" s="3167"/>
      <c r="W73" s="3167"/>
      <c r="X73" s="3167"/>
      <c r="Y73" s="3167"/>
      <c r="Z73" s="3167"/>
      <c r="AA73" s="3167"/>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167"/>
      <c r="F74" s="3167"/>
      <c r="G74" s="3167"/>
      <c r="H74" s="3167"/>
      <c r="I74" s="3167"/>
      <c r="J74" s="3167"/>
      <c r="K74" s="3167"/>
      <c r="L74" s="3167"/>
      <c r="M74" s="3167"/>
      <c r="N74" s="3167"/>
      <c r="O74" s="3167"/>
      <c r="P74" s="3167"/>
      <c r="Q74" s="3167"/>
      <c r="R74" s="3167"/>
      <c r="S74" s="3167"/>
      <c r="T74" s="3167"/>
      <c r="U74" s="3167"/>
      <c r="V74" s="3167"/>
      <c r="W74" s="3167"/>
      <c r="X74" s="3167"/>
      <c r="Y74" s="3167"/>
      <c r="Z74" s="3167"/>
      <c r="AA74" s="3167"/>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155">
        <f ca="1">ROUND(IF(ISERROR((AB59/AB71)),0,(AB59/AB71)),0)</f>
        <v>0</v>
      </c>
      <c r="AC76" s="3155"/>
      <c r="AD76" s="3155"/>
      <c r="AE76" s="3155"/>
      <c r="AF76" s="3155"/>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156">
        <f ca="1">IF((Y68+AD68&lt;AB76),Y68+AD68,AB76)</f>
        <v>0</v>
      </c>
      <c r="AC77" s="3157"/>
      <c r="AD77" s="3157"/>
      <c r="AE77" s="3157"/>
      <c r="AF77" s="3158"/>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159">
        <f ca="1">AB77*AB71</f>
        <v>0</v>
      </c>
      <c r="AC78" s="3159"/>
      <c r="AD78" s="3159"/>
      <c r="AE78" s="3159"/>
      <c r="AF78" s="3159"/>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160">
        <f ca="1">AB49-(AB57+AB78)</f>
        <v>0.17237267643213272</v>
      </c>
      <c r="AC80" s="3160"/>
      <c r="AD80" s="3160"/>
      <c r="AE80" s="3160"/>
      <c r="AF80" s="3160"/>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23"/>
      <c r="J81" s="823" t="str">
        <f ca="1">IF(AB80&gt;0,"FUNDING GAP MUST NOT EXCEED ZERO","")</f>
        <v>FUNDING GAP MUST NOT EXCEED ZERO</v>
      </c>
      <c r="AB81" s="620"/>
      <c r="AC81" s="620"/>
      <c r="AD81" s="620"/>
      <c r="AE81" s="620"/>
      <c r="AF81" s="620"/>
      <c r="AG81" s="620"/>
      <c r="AH81" s="620"/>
      <c r="AI81" s="620"/>
      <c r="AJ81" s="620"/>
      <c r="AK81" s="620"/>
      <c r="AL81" s="620"/>
      <c r="AM81" s="620"/>
      <c r="AN81" s="620"/>
      <c r="AO81" s="780"/>
      <c r="AP81" s="780"/>
      <c r="AQ81" s="780"/>
      <c r="AR81" s="780"/>
      <c r="AS81" s="780"/>
      <c r="AT81" s="780"/>
      <c r="AU81" s="780"/>
      <c r="AV81" s="780"/>
      <c r="AW81" s="780"/>
      <c r="AX81" s="780"/>
      <c r="AY81" s="780"/>
      <c r="AZ81" s="780"/>
      <c r="BA81" s="780"/>
      <c r="BB81" s="780"/>
      <c r="BC81" s="780"/>
      <c r="BD81" s="780"/>
      <c r="BE81" s="780"/>
      <c r="BF81" s="780"/>
      <c r="BG81" s="780"/>
      <c r="BH81" s="780"/>
      <c r="BI81" s="780"/>
      <c r="BJ81" s="780"/>
      <c r="BK81" s="780"/>
      <c r="BL81" s="780"/>
      <c r="BM81" s="780"/>
      <c r="BN81" s="780"/>
      <c r="BO81" s="780"/>
      <c r="BP81" s="780"/>
      <c r="BQ81" s="780"/>
      <c r="BR81" s="780"/>
      <c r="BS81" s="780"/>
      <c r="BT81" s="780"/>
      <c r="BU81" s="780"/>
      <c r="BV81" s="780"/>
      <c r="BW81" s="780"/>
      <c r="BX81" s="78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24"/>
      <c r="AB82" s="620"/>
      <c r="AC82" s="620"/>
      <c r="AD82" s="620"/>
      <c r="AE82" s="620"/>
      <c r="AF82" s="620"/>
      <c r="AG82" s="620"/>
      <c r="AH82" s="620"/>
      <c r="AI82" s="620"/>
      <c r="AJ82" s="620"/>
      <c r="AK82" s="620"/>
      <c r="AL82" s="620"/>
      <c r="AM82" s="620"/>
      <c r="AN82" s="620"/>
      <c r="AO82" s="780"/>
      <c r="AP82" s="780"/>
      <c r="AQ82" s="780"/>
      <c r="AR82" s="780"/>
      <c r="AS82" s="780"/>
      <c r="AT82" s="780"/>
      <c r="AU82" s="780"/>
      <c r="AV82" s="780"/>
      <c r="AW82" s="780"/>
      <c r="AX82" s="780"/>
      <c r="AY82" s="780"/>
      <c r="AZ82" s="780"/>
      <c r="BA82" s="780"/>
      <c r="BB82" s="780"/>
      <c r="BC82" s="780"/>
      <c r="BD82" s="780"/>
      <c r="BE82" s="780"/>
      <c r="BF82" s="780"/>
      <c r="BG82" s="780"/>
      <c r="BH82" s="780"/>
      <c r="BI82" s="780"/>
      <c r="BJ82" s="780"/>
      <c r="BK82" s="780"/>
      <c r="BL82" s="780"/>
      <c r="BM82" s="780"/>
      <c r="BN82" s="780"/>
      <c r="BO82" s="780"/>
      <c r="BP82" s="780"/>
      <c r="BQ82" s="780"/>
      <c r="BR82" s="780"/>
      <c r="BS82" s="780"/>
      <c r="BT82" s="780"/>
      <c r="BU82" s="780"/>
      <c r="BV82" s="780"/>
      <c r="BW82" s="780"/>
      <c r="BX82" s="78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182"/>
      <c r="B83" s="3182"/>
      <c r="C83" s="3182"/>
      <c r="D83" s="3182"/>
      <c r="E83" s="3182"/>
      <c r="F83" s="3182"/>
      <c r="G83" s="3182"/>
      <c r="H83" s="3182"/>
      <c r="I83" s="3182"/>
      <c r="J83" s="3182"/>
      <c r="K83" s="3182"/>
      <c r="L83" s="3182"/>
      <c r="M83" s="3182"/>
      <c r="N83" s="3182"/>
      <c r="O83" s="3182"/>
      <c r="P83" s="3182"/>
      <c r="Q83" s="3182"/>
      <c r="R83" s="3182"/>
      <c r="S83" s="3182"/>
      <c r="T83" s="3182"/>
      <c r="U83" s="3182"/>
      <c r="V83" s="3182"/>
      <c r="W83" s="3182"/>
      <c r="X83" s="3182"/>
      <c r="Y83" s="3182"/>
      <c r="Z83" s="3182"/>
      <c r="AA83" s="3182"/>
      <c r="AB83" s="3182"/>
      <c r="AC83" s="3182"/>
      <c r="AD83" s="3182"/>
      <c r="AE83" s="3182"/>
      <c r="AF83" s="3182"/>
      <c r="AG83" s="3182"/>
      <c r="AH83" s="3182"/>
      <c r="AI83" s="3182"/>
      <c r="AJ83" s="3182"/>
      <c r="AK83" s="3182"/>
      <c r="AL83" s="3182"/>
      <c r="AM83" s="3182"/>
      <c r="AN83" s="3182"/>
      <c r="AO83" s="3182"/>
      <c r="AP83" s="3182"/>
      <c r="AQ83" s="3182"/>
      <c r="AR83" s="3182"/>
      <c r="AS83" s="3182"/>
      <c r="AT83" s="3182"/>
      <c r="AU83" s="3182"/>
      <c r="AV83" s="3182"/>
      <c r="AW83" s="3182"/>
      <c r="AX83" s="3182"/>
      <c r="AY83" s="3182"/>
      <c r="AZ83" s="3182"/>
      <c r="BA83" s="3182"/>
      <c r="BB83" s="3182"/>
      <c r="BC83" s="3182"/>
      <c r="BD83" s="3182"/>
      <c r="BE83" s="3182"/>
      <c r="BF83" s="3182"/>
      <c r="BG83" s="3182"/>
      <c r="BH83" s="3182"/>
      <c r="BI83" s="3182"/>
      <c r="BJ83" s="3182"/>
      <c r="BK83" s="3182"/>
      <c r="BL83" s="3182"/>
      <c r="BM83" s="3182"/>
      <c r="BN83" s="3182"/>
      <c r="BO83" s="3182"/>
      <c r="BP83" s="3182"/>
      <c r="BQ83" s="3182"/>
      <c r="BR83" s="3182"/>
      <c r="BS83" s="3182"/>
      <c r="BT83" s="3182"/>
      <c r="BU83" s="3182"/>
      <c r="BV83" s="3182"/>
      <c r="BW83" s="3182"/>
      <c r="BX83" s="3182"/>
    </row>
    <row r="84" spans="1:98" ht="13.5" thickTop="1"/>
    <row r="85" spans="1:98" ht="12.75">
      <c r="A85" s="782"/>
      <c r="C85" s="335"/>
      <c r="Z85" s="620"/>
      <c r="AA85" s="620"/>
      <c r="AB85" s="620"/>
      <c r="AC85" s="620"/>
      <c r="AD85" s="620"/>
      <c r="AE85" s="620"/>
      <c r="AF85" s="620"/>
      <c r="AG85" s="620"/>
      <c r="AH85" s="620"/>
    </row>
    <row r="86" spans="1:98" ht="12.75">
      <c r="D86" s="335"/>
      <c r="Z86" s="620"/>
      <c r="AA86" s="620"/>
      <c r="AB86" s="3223"/>
      <c r="AC86" s="3223"/>
      <c r="AD86" s="3223"/>
      <c r="AE86" s="3223"/>
      <c r="AF86" s="3223"/>
      <c r="AG86" s="620"/>
      <c r="AH86" s="620"/>
    </row>
    <row r="87" spans="1:98" ht="13.5" thickBot="1">
      <c r="D87" s="335"/>
      <c r="Z87" s="620"/>
      <c r="AA87" s="620"/>
      <c r="AB87" s="3222"/>
      <c r="AC87" s="3222"/>
      <c r="AD87" s="3222"/>
      <c r="AE87" s="3222"/>
      <c r="AF87" s="3222"/>
      <c r="AG87" s="620"/>
      <c r="AH87" s="620"/>
      <c r="AO87" s="822"/>
      <c r="AP87" s="822"/>
      <c r="AQ87" s="822"/>
      <c r="AR87" s="822"/>
      <c r="AS87" s="822"/>
      <c r="AT87" s="822"/>
      <c r="AU87" s="822"/>
      <c r="AV87" s="822"/>
      <c r="AW87" s="822"/>
      <c r="AX87" s="822"/>
      <c r="AY87" s="822"/>
      <c r="AZ87" s="822"/>
      <c r="BA87" s="822"/>
      <c r="BB87" s="822"/>
      <c r="BC87" s="822"/>
      <c r="BD87" s="822"/>
      <c r="BE87" s="822"/>
      <c r="BF87" s="822"/>
      <c r="BG87" s="822"/>
      <c r="BH87" s="822"/>
      <c r="BI87" s="822"/>
      <c r="BJ87" s="822"/>
      <c r="BK87" s="822"/>
      <c r="BL87" s="822"/>
      <c r="BM87" s="822"/>
      <c r="BN87" s="822"/>
      <c r="BO87" s="822"/>
      <c r="BP87" s="822"/>
      <c r="BQ87" s="822"/>
      <c r="BR87" s="822"/>
      <c r="BS87" s="822"/>
      <c r="BT87" s="822"/>
      <c r="BU87" s="822"/>
      <c r="BV87" s="822"/>
      <c r="BW87" s="822"/>
      <c r="BX87" s="822"/>
      <c r="BY87" s="822"/>
      <c r="BZ87" s="822"/>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4" zoomScaleNormal="100" zoomScaleSheetLayoutView="80" workbookViewId="0">
      <selection activeCell="F27" sqref="F27"/>
    </sheetView>
  </sheetViews>
  <sheetFormatPr defaultColWidth="9" defaultRowHeight="14.25" zeroHeight="1"/>
  <cols>
    <col min="1" max="2" width="2.5703125" style="1345" customWidth="1"/>
    <col min="3" max="3" width="3.7109375" style="1345" customWidth="1"/>
    <col min="4" max="4" width="15.42578125" style="1345" customWidth="1"/>
    <col min="5" max="5" width="32.5703125" style="1345" customWidth="1"/>
    <col min="6" max="8" width="15.5703125" style="1345" customWidth="1"/>
    <col min="9" max="9" width="40.5703125" style="1345" customWidth="1"/>
    <col min="10" max="10" width="30.5703125" style="1345" customWidth="1"/>
    <col min="11" max="13" width="2.5703125" style="1345" customWidth="1"/>
    <col min="14" max="14" width="29.7109375" style="1345" customWidth="1"/>
    <col min="15" max="24" width="2.5703125" style="1345" customWidth="1"/>
    <col min="25" max="33" width="9" style="1345" customWidth="1"/>
    <col min="34" max="16384" width="9" style="1345"/>
  </cols>
  <sheetData>
    <row r="1" spans="1:33" ht="15">
      <c r="A1" s="3238" t="s">
        <v>1953</v>
      </c>
      <c r="B1" s="3238"/>
      <c r="C1" s="3238"/>
      <c r="D1" s="3238"/>
      <c r="E1" s="3238"/>
      <c r="F1" s="3238"/>
      <c r="G1" s="3238"/>
      <c r="H1" s="3238"/>
      <c r="I1" s="3238"/>
      <c r="J1" s="3238"/>
      <c r="K1" s="3238"/>
      <c r="L1" s="1344"/>
      <c r="M1" s="1344"/>
      <c r="N1" s="1344"/>
      <c r="O1" s="1344"/>
      <c r="P1" s="1344"/>
      <c r="Q1" s="1344"/>
      <c r="R1" s="1344"/>
      <c r="S1" s="1344"/>
      <c r="T1" s="1344"/>
      <c r="U1" s="1344"/>
      <c r="V1" s="1344"/>
      <c r="W1" s="1344"/>
      <c r="X1" s="1344"/>
      <c r="Y1" s="1344"/>
      <c r="Z1" s="1344"/>
      <c r="AA1" s="1344"/>
      <c r="AB1" s="1344"/>
      <c r="AC1" s="1344"/>
      <c r="AD1" s="1344"/>
      <c r="AE1" s="1344"/>
      <c r="AF1" s="1344"/>
      <c r="AG1" s="1344"/>
    </row>
    <row r="2" spans="1:33" ht="15">
      <c r="A2" s="3238"/>
      <c r="B2" s="3238"/>
      <c r="C2" s="3238"/>
      <c r="D2" s="3238"/>
      <c r="E2" s="3238"/>
      <c r="F2" s="3238"/>
      <c r="G2" s="3238"/>
      <c r="H2" s="3238"/>
      <c r="I2" s="3238"/>
      <c r="J2" s="3238"/>
      <c r="K2" s="3238"/>
      <c r="L2" s="1344"/>
      <c r="M2" s="1344"/>
      <c r="N2" s="1344"/>
      <c r="O2" s="1344"/>
      <c r="P2" s="1344"/>
      <c r="Q2" s="1344"/>
      <c r="R2" s="1344"/>
      <c r="S2" s="1344"/>
      <c r="T2" s="1344"/>
      <c r="U2" s="1344"/>
      <c r="V2" s="1344"/>
      <c r="W2" s="1344"/>
      <c r="X2" s="1344"/>
      <c r="Y2" s="1344"/>
      <c r="Z2" s="1344"/>
      <c r="AA2" s="1344"/>
      <c r="AB2" s="1344"/>
      <c r="AC2" s="1344"/>
      <c r="AD2" s="1344"/>
      <c r="AE2" s="1344"/>
      <c r="AF2" s="1344"/>
      <c r="AG2" s="1344"/>
    </row>
    <row r="3" spans="1:33">
      <c r="L3" s="1346"/>
      <c r="M3" s="1346"/>
      <c r="N3" s="1346"/>
      <c r="O3" s="1346"/>
      <c r="P3" s="1346"/>
      <c r="Q3" s="1346"/>
      <c r="R3" s="1346"/>
      <c r="S3" s="1346"/>
      <c r="T3" s="1346"/>
      <c r="U3" s="1346"/>
      <c r="V3" s="1346"/>
      <c r="W3" s="1346"/>
      <c r="X3" s="1346"/>
      <c r="Y3" s="1346"/>
      <c r="Z3" s="1346"/>
      <c r="AA3" s="1346"/>
      <c r="AB3" s="1346"/>
      <c r="AC3" s="1346"/>
    </row>
    <row r="4" spans="1:33">
      <c r="C4" s="3239" t="s">
        <v>1954</v>
      </c>
      <c r="D4" s="3239"/>
      <c r="E4" s="3239"/>
      <c r="F4" s="3239"/>
      <c r="G4" s="3239"/>
      <c r="H4" s="3239"/>
      <c r="I4" s="3239"/>
      <c r="J4" s="3239"/>
    </row>
    <row r="5" spans="1:33">
      <c r="C5" s="3239"/>
      <c r="D5" s="3239"/>
      <c r="E5" s="3239"/>
      <c r="F5" s="3239"/>
      <c r="G5" s="3239"/>
      <c r="H5" s="3239"/>
      <c r="I5" s="3239"/>
      <c r="J5" s="3239"/>
    </row>
    <row r="6" spans="1:33">
      <c r="C6" s="1347"/>
      <c r="D6" s="1347"/>
      <c r="E6" s="1347"/>
      <c r="F6" s="1347"/>
      <c r="G6" s="1347"/>
      <c r="H6" s="1347"/>
      <c r="I6" s="1347"/>
      <c r="J6" s="1347"/>
    </row>
    <row r="7" spans="1:33">
      <c r="C7" s="1348" t="s">
        <v>1955</v>
      </c>
      <c r="D7" s="1347"/>
      <c r="E7" s="3240" t="str">
        <f>Application!H16</f>
        <v>CHISPA East Garrison LP</v>
      </c>
      <c r="F7" s="3240"/>
      <c r="G7" s="3240"/>
      <c r="H7" s="1347"/>
      <c r="I7" s="1348" t="s">
        <v>1956</v>
      </c>
      <c r="J7" s="1349">
        <f>Application!AG437+Application!AG439</f>
        <v>65</v>
      </c>
    </row>
    <row r="8" spans="1:33">
      <c r="C8" s="1348" t="s">
        <v>1957</v>
      </c>
      <c r="D8" s="1347"/>
      <c r="E8" s="3240" t="str">
        <f>Application!H18</f>
        <v>CHISPA East Garrison Apartments</v>
      </c>
      <c r="F8" s="3240"/>
      <c r="G8" s="3240"/>
      <c r="H8" s="1347"/>
      <c r="I8" s="1348" t="s">
        <v>1958</v>
      </c>
      <c r="J8" s="1350">
        <f>Application!CS663</f>
        <v>157</v>
      </c>
    </row>
    <row r="9" spans="1:33" ht="14.25" customHeight="1">
      <c r="C9" s="1348" t="s">
        <v>1959</v>
      </c>
      <c r="D9" s="1347"/>
      <c r="E9" s="3241" t="str">
        <f>Application!D210</f>
        <v>Large Family</v>
      </c>
      <c r="F9" s="3241"/>
      <c r="G9" s="3241"/>
      <c r="H9" s="1347"/>
      <c r="I9" s="1348" t="s">
        <v>1960</v>
      </c>
      <c r="J9" s="1351"/>
      <c r="N9" s="1352"/>
    </row>
    <row r="10" spans="1:33" ht="26.85" customHeight="1">
      <c r="C10" s="3239" t="s">
        <v>1961</v>
      </c>
      <c r="D10" s="3239"/>
      <c r="E10" s="3242" t="str">
        <f>Application!D213</f>
        <v>N/A</v>
      </c>
      <c r="F10" s="3242"/>
      <c r="G10" s="3242"/>
      <c r="H10" s="1347"/>
      <c r="I10" s="1353" t="s">
        <v>1962</v>
      </c>
      <c r="J10" s="1354">
        <f>IF(J9&gt;0,J8-J9,J8)</f>
        <v>157</v>
      </c>
      <c r="N10" s="1352"/>
    </row>
    <row r="11" spans="1:33">
      <c r="C11" s="1355"/>
      <c r="N11" s="1352"/>
    </row>
    <row r="12" spans="1:33" ht="15" customHeight="1">
      <c r="C12" s="3243" t="s">
        <v>1963</v>
      </c>
      <c r="D12" s="3244"/>
      <c r="E12" s="3245"/>
      <c r="F12" s="3236" t="s">
        <v>1964</v>
      </c>
      <c r="G12" s="3236" t="s">
        <v>1965</v>
      </c>
      <c r="H12" s="3249" t="s">
        <v>2180</v>
      </c>
      <c r="I12" s="3236" t="s">
        <v>2179</v>
      </c>
      <c r="J12" s="3236" t="s">
        <v>1966</v>
      </c>
      <c r="N12" s="1352"/>
    </row>
    <row r="13" spans="1:33" ht="68.25" customHeight="1">
      <c r="C13" s="3246"/>
      <c r="D13" s="3247"/>
      <c r="E13" s="3248"/>
      <c r="F13" s="3237"/>
      <c r="G13" s="3237"/>
      <c r="H13" s="3250"/>
      <c r="I13" s="3237"/>
      <c r="J13" s="3237"/>
    </row>
    <row r="14" spans="1:33" ht="15" customHeight="1">
      <c r="C14" s="1356" t="s">
        <v>1967</v>
      </c>
      <c r="D14" s="1357"/>
      <c r="E14" s="1357"/>
      <c r="F14" s="1358"/>
      <c r="G14" s="1358"/>
      <c r="H14" s="1359"/>
      <c r="I14" s="1359"/>
      <c r="J14" s="1359"/>
    </row>
    <row r="15" spans="1:33">
      <c r="C15" s="1360" t="s">
        <v>1968</v>
      </c>
      <c r="D15" s="1345" t="s">
        <v>1969</v>
      </c>
      <c r="F15" s="1361"/>
      <c r="G15" s="1362"/>
      <c r="H15" s="1363"/>
      <c r="I15" s="1363"/>
      <c r="J15" s="1363"/>
    </row>
    <row r="16" spans="1:33">
      <c r="C16" s="1360" t="s">
        <v>1970</v>
      </c>
      <c r="D16" s="1345" t="s">
        <v>1971</v>
      </c>
      <c r="F16" s="1361"/>
      <c r="G16" s="1364"/>
      <c r="H16" s="1363"/>
      <c r="I16" s="1363"/>
      <c r="J16" s="1363"/>
    </row>
    <row r="17" spans="3:10">
      <c r="C17" s="1360" t="s">
        <v>1853</v>
      </c>
      <c r="D17" s="1345" t="s">
        <v>1972</v>
      </c>
      <c r="F17" s="1361">
        <v>148</v>
      </c>
      <c r="G17" s="1364">
        <v>8031</v>
      </c>
      <c r="H17" s="1363"/>
      <c r="I17" s="1363" t="s">
        <v>2594</v>
      </c>
      <c r="J17" s="1363" t="s">
        <v>2556</v>
      </c>
    </row>
    <row r="18" spans="3:10">
      <c r="C18" s="1360" t="s">
        <v>1973</v>
      </c>
      <c r="D18" s="1346" t="s">
        <v>1974</v>
      </c>
      <c r="E18" s="1346"/>
      <c r="F18" s="1361"/>
      <c r="G18" s="1364"/>
      <c r="H18" s="1363"/>
      <c r="I18" s="1363"/>
      <c r="J18" s="1363"/>
    </row>
    <row r="19" spans="3:10">
      <c r="C19" s="1360" t="s">
        <v>1975</v>
      </c>
      <c r="D19" s="1346" t="s">
        <v>1976</v>
      </c>
      <c r="E19" s="1346"/>
      <c r="F19" s="1361"/>
      <c r="G19" s="1364"/>
      <c r="H19" s="1363"/>
      <c r="I19" s="1363"/>
      <c r="J19" s="1363"/>
    </row>
    <row r="20" spans="3:10">
      <c r="C20" s="1360" t="s">
        <v>1977</v>
      </c>
      <c r="D20" s="1346" t="s">
        <v>1978</v>
      </c>
      <c r="E20" s="1365"/>
      <c r="F20" s="1366">
        <v>520</v>
      </c>
      <c r="G20" s="1364">
        <v>18280</v>
      </c>
      <c r="H20" s="1363"/>
      <c r="I20" s="1363" t="s">
        <v>2594</v>
      </c>
      <c r="J20" s="1363" t="s">
        <v>2557</v>
      </c>
    </row>
    <row r="21" spans="3:10">
      <c r="C21" s="1367"/>
      <c r="D21" s="1368"/>
      <c r="E21" s="1369"/>
      <c r="F21" s="1366"/>
      <c r="G21" s="1364"/>
      <c r="H21" s="1363"/>
      <c r="I21" s="1363"/>
      <c r="J21" s="1363"/>
    </row>
    <row r="22" spans="3:10">
      <c r="C22" s="1370" t="s">
        <v>1979</v>
      </c>
      <c r="D22" s="1371"/>
      <c r="E22" s="1371"/>
      <c r="F22" s="1372"/>
      <c r="G22" s="1373"/>
      <c r="H22" s="1374"/>
      <c r="I22" s="1374"/>
      <c r="J22" s="1374"/>
    </row>
    <row r="23" spans="3:10">
      <c r="C23" s="1360" t="s">
        <v>1980</v>
      </c>
      <c r="D23" s="1346" t="s">
        <v>1981</v>
      </c>
      <c r="E23" s="1346"/>
      <c r="F23" s="1361"/>
      <c r="G23" s="1364"/>
      <c r="H23" s="1363"/>
      <c r="I23" s="1363"/>
      <c r="J23" s="1363"/>
    </row>
    <row r="24" spans="3:10">
      <c r="C24" s="1360" t="s">
        <v>1982</v>
      </c>
      <c r="D24" s="1346" t="s">
        <v>1983</v>
      </c>
      <c r="E24" s="1346"/>
      <c r="F24" s="1361"/>
      <c r="G24" s="1364"/>
      <c r="H24" s="1363"/>
      <c r="I24" s="1363"/>
      <c r="J24" s="1363"/>
    </row>
    <row r="25" spans="3:10">
      <c r="C25" s="1360" t="s">
        <v>1984</v>
      </c>
      <c r="D25" s="1345" t="s">
        <v>1972</v>
      </c>
      <c r="E25" s="1346"/>
      <c r="F25" s="1361"/>
      <c r="G25" s="1364"/>
      <c r="H25" s="1363"/>
      <c r="I25" s="1363"/>
      <c r="J25" s="1363"/>
    </row>
    <row r="26" spans="3:10">
      <c r="C26" s="1360" t="s">
        <v>1985</v>
      </c>
      <c r="D26" s="1346" t="s">
        <v>1986</v>
      </c>
      <c r="E26" s="1346"/>
      <c r="F26" s="1361"/>
      <c r="G26" s="1364"/>
      <c r="H26" s="1363"/>
      <c r="I26" s="1363"/>
      <c r="J26" s="1363"/>
    </row>
    <row r="27" spans="3:10">
      <c r="C27" s="1360" t="s">
        <v>1987</v>
      </c>
      <c r="D27" s="1346" t="s">
        <v>1976</v>
      </c>
      <c r="E27" s="1346"/>
      <c r="F27" s="1361"/>
      <c r="G27" s="1364"/>
      <c r="H27" s="1363"/>
      <c r="I27" s="1363"/>
      <c r="J27" s="1363"/>
    </row>
    <row r="28" spans="3:10">
      <c r="C28" s="1360" t="s">
        <v>1988</v>
      </c>
      <c r="D28" s="1346" t="s">
        <v>1978</v>
      </c>
      <c r="E28" s="1346"/>
      <c r="F28" s="1361"/>
      <c r="G28" s="1364"/>
      <c r="H28" s="1363"/>
      <c r="I28" s="1363"/>
      <c r="J28" s="1363"/>
    </row>
    <row r="29" spans="3:10">
      <c r="C29" s="1375"/>
      <c r="D29" s="1355"/>
      <c r="E29" s="1355"/>
      <c r="F29" s="1361"/>
      <c r="G29" s="1364"/>
      <c r="H29" s="1363"/>
      <c r="I29" s="1363"/>
      <c r="J29" s="1363"/>
    </row>
    <row r="30" spans="3:10" ht="15">
      <c r="C30" s="1376" t="s">
        <v>1989</v>
      </c>
      <c r="D30" s="1371"/>
      <c r="E30" s="1371"/>
      <c r="F30" s="1377"/>
      <c r="G30" s="1378"/>
      <c r="H30" s="1379"/>
      <c r="I30" s="1379"/>
      <c r="J30" s="1379"/>
    </row>
    <row r="31" spans="3:10">
      <c r="C31" s="1360"/>
      <c r="D31" s="1380"/>
      <c r="E31" s="1380"/>
      <c r="F31" s="1361"/>
      <c r="G31" s="1364"/>
      <c r="H31" s="1363"/>
      <c r="I31" s="1363"/>
      <c r="J31" s="1363"/>
    </row>
    <row r="32" spans="3:10">
      <c r="C32" s="1360"/>
      <c r="D32" s="1380"/>
      <c r="E32" s="1380"/>
      <c r="F32" s="1361"/>
      <c r="G32" s="1364"/>
      <c r="H32" s="1363"/>
      <c r="I32" s="1363"/>
      <c r="J32" s="1363"/>
    </row>
    <row r="33" spans="3:10">
      <c r="C33" s="1360"/>
      <c r="D33" s="1381"/>
      <c r="E33" s="1380"/>
      <c r="F33" s="1361"/>
      <c r="G33" s="1364"/>
      <c r="H33" s="1363"/>
      <c r="I33" s="1363"/>
      <c r="J33" s="1363"/>
    </row>
    <row r="34" spans="3:10">
      <c r="C34" s="1360"/>
      <c r="F34" s="1382"/>
      <c r="G34" s="1382"/>
      <c r="H34" s="1382"/>
      <c r="I34" s="1382"/>
      <c r="J34" s="1382"/>
    </row>
    <row r="35" spans="3:10" ht="15">
      <c r="C35" s="1383" t="s">
        <v>972</v>
      </c>
      <c r="D35" s="1384"/>
      <c r="E35" s="1384"/>
      <c r="F35" s="1385"/>
      <c r="G35" s="1386">
        <f>SUM(G15:G33)</f>
        <v>26311</v>
      </c>
      <c r="H35" s="1387"/>
      <c r="I35" s="1387"/>
      <c r="J35" s="1387"/>
    </row>
    <row r="36" spans="3:10"/>
    <row r="37" spans="3:10" ht="16.5">
      <c r="C37" s="1388" t="s">
        <v>1990</v>
      </c>
    </row>
    <row r="38" spans="3:10" s="1390" customFormat="1" ht="17.25" customHeight="1">
      <c r="C38" s="1389" t="s">
        <v>1991</v>
      </c>
    </row>
    <row r="39" spans="3:10" s="1390" customFormat="1" ht="15">
      <c r="C39" s="1390" t="s">
        <v>1992</v>
      </c>
    </row>
    <row r="40" spans="3:10" s="1390" customFormat="1"/>
    <row r="41" spans="3:10" s="1390" customFormat="1"/>
    <row r="42" spans="3:10" s="1390" customFormat="1" hidden="1"/>
    <row r="43" spans="3:10" s="1390" customFormat="1" hidden="1"/>
    <row r="44" spans="3:10" s="1390" customFormat="1" hidden="1"/>
    <row r="45" spans="3:10" s="1390" customFormat="1" hidden="1"/>
    <row r="46" spans="3:10" s="1390" customFormat="1" hidden="1"/>
    <row r="47" spans="3:10" s="1390" customFormat="1" hidden="1"/>
    <row r="48" spans="3:10" s="1390" customFormat="1" hidden="1"/>
    <row r="49" s="1390" customFormat="1" hidden="1"/>
    <row r="50" s="1390" customFormat="1" hidden="1"/>
    <row r="51" s="1390" customFormat="1" hidden="1"/>
    <row r="52" s="1390" customFormat="1" hidden="1"/>
    <row r="53" s="1390"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19"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B10" sqref="B10"/>
    </sheetView>
  </sheetViews>
  <sheetFormatPr defaultColWidth="0" defaultRowHeight="12.75" zeroHeight="1"/>
  <cols>
    <col min="1" max="1" width="3.7109375" customWidth="1"/>
    <col min="2" max="2" width="27.7109375" customWidth="1"/>
    <col min="3" max="3" width="9.28515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894876</v>
      </c>
      <c r="G4" s="355">
        <f>E4*$C$4</f>
        <v>917247.89999999991</v>
      </c>
      <c r="I4" s="355">
        <f>G4*$C$4</f>
        <v>940179.0974999998</v>
      </c>
      <c r="K4" s="355">
        <f>I4*$C$4</f>
        <v>963683.57493749971</v>
      </c>
      <c r="M4" s="355">
        <f>K4*$C$4</f>
        <v>987775.66431093717</v>
      </c>
      <c r="O4" s="355">
        <f>M4*$C$4</f>
        <v>1012470.0559187105</v>
      </c>
      <c r="Q4" s="355">
        <f>O4*$C$4</f>
        <v>1037781.8073166782</v>
      </c>
      <c r="S4" s="355">
        <f>Q4*$C$4</f>
        <v>1063726.3524995951</v>
      </c>
      <c r="U4" s="355">
        <f>S4*$C$4</f>
        <v>1090319.511312085</v>
      </c>
      <c r="W4" s="355">
        <f>U4*$C$4</f>
        <v>1117577.4990948869</v>
      </c>
      <c r="Y4" s="355">
        <f>W4*$C$4</f>
        <v>1145516.9365722591</v>
      </c>
      <c r="AA4" s="355">
        <f>Y4*$C$4</f>
        <v>1174154.8599865655</v>
      </c>
      <c r="AC4" s="355">
        <f>AA4*$C$4</f>
        <v>1203508.7314862297</v>
      </c>
      <c r="AE4" s="355">
        <f>AC4*$C$4</f>
        <v>1233596.4497733854</v>
      </c>
      <c r="AG4" s="355">
        <f>AE4*$C$4</f>
        <v>1264436.3610177198</v>
      </c>
    </row>
    <row r="5" spans="1:34" s="340" customFormat="1" ht="14.25">
      <c r="B5" s="340" t="s">
        <v>905</v>
      </c>
      <c r="C5" s="376">
        <f>IF(Application!$D$210="Special Needs",0.1,0.05)</f>
        <v>0.05</v>
      </c>
      <c r="E5" s="357">
        <f>-E4*$C$5</f>
        <v>-44743.8</v>
      </c>
      <c r="F5" s="357"/>
      <c r="G5" s="357">
        <f>-G4*$C$5</f>
        <v>-45862.394999999997</v>
      </c>
      <c r="H5" s="357"/>
      <c r="I5" s="357">
        <f>-I4*$C$5</f>
        <v>-47008.954874999996</v>
      </c>
      <c r="J5" s="357"/>
      <c r="K5" s="357">
        <f>-K4*$C$5</f>
        <v>-48184.17874687499</v>
      </c>
      <c r="L5" s="357"/>
      <c r="M5" s="357">
        <f>-M4*$C$5</f>
        <v>-49388.783215546864</v>
      </c>
      <c r="N5" s="357"/>
      <c r="O5" s="357">
        <f>-O4*$C$5</f>
        <v>-50623.502795935528</v>
      </c>
      <c r="P5" s="357"/>
      <c r="Q5" s="357">
        <f>-Q4*$C$5</f>
        <v>-51889.090365833916</v>
      </c>
      <c r="R5" s="357"/>
      <c r="S5" s="357">
        <f>-S4*$C$5</f>
        <v>-53186.317624979762</v>
      </c>
      <c r="T5" s="357"/>
      <c r="U5" s="357">
        <f>-U4*$C$5</f>
        <v>-54515.975565604254</v>
      </c>
      <c r="V5" s="357"/>
      <c r="W5" s="357">
        <f>-W4*$C$5</f>
        <v>-55878.874954744351</v>
      </c>
      <c r="X5" s="357"/>
      <c r="Y5" s="357">
        <f>-Y4*$C$5</f>
        <v>-57275.846828612957</v>
      </c>
      <c r="Z5" s="357"/>
      <c r="AA5" s="357">
        <f>-AA4*$C$5</f>
        <v>-58707.742999328279</v>
      </c>
      <c r="AB5" s="357"/>
      <c r="AC5" s="357">
        <f>-AC4*$C$5</f>
        <v>-60175.43657431149</v>
      </c>
      <c r="AD5" s="357"/>
      <c r="AE5" s="357">
        <f>-AE4*$C$5</f>
        <v>-61679.822488669277</v>
      </c>
      <c r="AF5" s="357"/>
      <c r="AG5" s="357">
        <f>-AG4*$C$5</f>
        <v>-63221.818050885995</v>
      </c>
    </row>
    <row r="6" spans="1:34" s="340" customFormat="1" ht="14.25">
      <c r="A6" s="340" t="s">
        <v>903</v>
      </c>
      <c r="C6" s="375">
        <v>1.0249999999999999</v>
      </c>
      <c r="E6" s="358">
        <f>Application!Z807</f>
        <v>212964</v>
      </c>
      <c r="F6" s="358"/>
      <c r="G6" s="358">
        <f>E6*$C$6</f>
        <v>218288.09999999998</v>
      </c>
      <c r="H6" s="358"/>
      <c r="I6" s="358">
        <f>G6*$C$6</f>
        <v>223745.30249999996</v>
      </c>
      <c r="J6" s="358"/>
      <c r="K6" s="358">
        <f>I6*$C$6</f>
        <v>229338.93506249995</v>
      </c>
      <c r="L6" s="358"/>
      <c r="M6" s="358">
        <f>K6*$C$6</f>
        <v>235072.40843906242</v>
      </c>
      <c r="N6" s="358"/>
      <c r="O6" s="358">
        <f>M6*$C$6</f>
        <v>240949.21865003897</v>
      </c>
      <c r="P6" s="358"/>
      <c r="Q6" s="358">
        <f>O6*$C$6</f>
        <v>246972.94911628991</v>
      </c>
      <c r="R6" s="358"/>
      <c r="S6" s="358">
        <f>Q6*$C$6</f>
        <v>253147.27284419714</v>
      </c>
      <c r="T6" s="358"/>
      <c r="U6" s="358">
        <f>S6*$C$6</f>
        <v>259475.95466530204</v>
      </c>
      <c r="V6" s="358"/>
      <c r="W6" s="358">
        <f>U6*$C$6</f>
        <v>265962.85353193455</v>
      </c>
      <c r="X6" s="358"/>
      <c r="Y6" s="358">
        <f>W6*$C$6</f>
        <v>272611.92487023288</v>
      </c>
      <c r="Z6" s="358"/>
      <c r="AA6" s="358">
        <f>Y6*$C$6</f>
        <v>279427.2229919887</v>
      </c>
      <c r="AB6" s="358"/>
      <c r="AC6" s="358">
        <f>AA6*$C$6</f>
        <v>286412.90356678842</v>
      </c>
      <c r="AD6" s="358"/>
      <c r="AE6" s="358">
        <f>AC6*$C$6</f>
        <v>293573.22615595808</v>
      </c>
      <c r="AF6" s="358"/>
      <c r="AG6" s="358">
        <f>AE6*$C$6</f>
        <v>300912.55680985702</v>
      </c>
    </row>
    <row r="7" spans="1:34" s="340" customFormat="1" ht="14.25">
      <c r="B7" s="340" t="s">
        <v>905</v>
      </c>
      <c r="C7" s="376">
        <f>IF(Application!$D$210="Special Needs",0.1,0.05)</f>
        <v>0.05</v>
      </c>
      <c r="E7" s="357">
        <f>-E6*$C$7</f>
        <v>-10648.2</v>
      </c>
      <c r="F7" s="357"/>
      <c r="G7" s="357">
        <f>-G6*$C$7</f>
        <v>-10914.404999999999</v>
      </c>
      <c r="H7" s="357"/>
      <c r="I7" s="357">
        <f>-I6*$C$7</f>
        <v>-11187.265124999998</v>
      </c>
      <c r="J7" s="357"/>
      <c r="K7" s="357">
        <f>-K6*$C$7</f>
        <v>-11466.946753124997</v>
      </c>
      <c r="L7" s="357"/>
      <c r="M7" s="357">
        <f>-M6*$C$7</f>
        <v>-11753.620421953121</v>
      </c>
      <c r="N7" s="357"/>
      <c r="O7" s="357">
        <f>-O6*$C$7</f>
        <v>-12047.460932501948</v>
      </c>
      <c r="P7" s="357"/>
      <c r="Q7" s="357">
        <f>-Q6*$C$7</f>
        <v>-12348.647455814496</v>
      </c>
      <c r="R7" s="357"/>
      <c r="S7" s="357">
        <f>-S6*$C$7</f>
        <v>-12657.363642209857</v>
      </c>
      <c r="T7" s="357"/>
      <c r="U7" s="357">
        <f>-U6*$C$7</f>
        <v>-12973.797733265103</v>
      </c>
      <c r="V7" s="357"/>
      <c r="W7" s="357">
        <f>-W6*$C$7</f>
        <v>-13298.142676596728</v>
      </c>
      <c r="X7" s="357"/>
      <c r="Y7" s="357">
        <f>-Y6*$C$7</f>
        <v>-13630.596243511645</v>
      </c>
      <c r="Z7" s="357"/>
      <c r="AA7" s="357">
        <f>-AA6*$C$7</f>
        <v>-13971.361149599436</v>
      </c>
      <c r="AB7" s="357"/>
      <c r="AC7" s="357">
        <f>-AC6*$C$7</f>
        <v>-14320.645178339422</v>
      </c>
      <c r="AD7" s="357"/>
      <c r="AE7" s="357">
        <f>-AE6*$C$7</f>
        <v>-14678.661307797905</v>
      </c>
      <c r="AF7" s="357"/>
      <c r="AG7" s="357">
        <f>-AG6*$C$7</f>
        <v>-15045.627840492853</v>
      </c>
    </row>
    <row r="8" spans="1:34" s="340" customFormat="1" ht="14.25">
      <c r="A8" s="340" t="s">
        <v>298</v>
      </c>
      <c r="C8" s="375">
        <v>1.0249999999999999</v>
      </c>
      <c r="E8" s="358">
        <f>Application!Z815</f>
        <v>5544</v>
      </c>
      <c r="F8" s="358"/>
      <c r="G8" s="358">
        <f>E8*$C$8</f>
        <v>5682.5999999999995</v>
      </c>
      <c r="H8" s="358"/>
      <c r="I8" s="358">
        <f>G8*$C$8</f>
        <v>5824.6649999999991</v>
      </c>
      <c r="J8" s="358"/>
      <c r="K8" s="358">
        <f>I8*$C$8</f>
        <v>5970.2816249999987</v>
      </c>
      <c r="L8" s="358"/>
      <c r="M8" s="358">
        <f>K8*$C$8</f>
        <v>6119.5386656249984</v>
      </c>
      <c r="N8" s="358"/>
      <c r="O8" s="358">
        <f>M8*$C$8</f>
        <v>6272.5271322656226</v>
      </c>
      <c r="P8" s="358"/>
      <c r="Q8" s="358">
        <f>O8*$C$8</f>
        <v>6429.3403105722628</v>
      </c>
      <c r="R8" s="358"/>
      <c r="S8" s="358">
        <f>Q8*$C$8</f>
        <v>6590.0738183365684</v>
      </c>
      <c r="T8" s="358"/>
      <c r="U8" s="358">
        <f>S8*$C$8</f>
        <v>6754.8256637949817</v>
      </c>
      <c r="V8" s="358"/>
      <c r="W8" s="358">
        <f>U8*$C$8</f>
        <v>6923.6963053898553</v>
      </c>
      <c r="X8" s="358"/>
      <c r="Y8" s="358">
        <f>W8*$C$8</f>
        <v>7096.7887130246008</v>
      </c>
      <c r="Z8" s="358"/>
      <c r="AA8" s="358">
        <f>Y8*$C$8</f>
        <v>7274.2084308502153</v>
      </c>
      <c r="AB8" s="358"/>
      <c r="AC8" s="358">
        <f>AA8*$C$8</f>
        <v>7456.0636416214702</v>
      </c>
      <c r="AD8" s="358"/>
      <c r="AE8" s="358">
        <f>AC8*$C$8</f>
        <v>7642.4652326620062</v>
      </c>
      <c r="AF8" s="358"/>
      <c r="AG8" s="358">
        <f>AE8*$C$8</f>
        <v>7833.5268634785552</v>
      </c>
    </row>
    <row r="9" spans="1:34" s="340" customFormat="1" ht="14.25">
      <c r="B9" s="340" t="s">
        <v>905</v>
      </c>
      <c r="C9" s="376">
        <f>IF(Application!$D$210="Special Needs",0.1,0.05)</f>
        <v>0.05</v>
      </c>
      <c r="E9" s="374">
        <f>-E8*$C$9</f>
        <v>-277.2</v>
      </c>
      <c r="F9" s="357"/>
      <c r="G9" s="374">
        <f>-G8*$C$9</f>
        <v>-284.13</v>
      </c>
      <c r="H9" s="357"/>
      <c r="I9" s="374">
        <f>-I8*$C$9</f>
        <v>-291.23324999999994</v>
      </c>
      <c r="J9" s="357"/>
      <c r="K9" s="374">
        <f>-K8*$C$9</f>
        <v>-298.51408124999995</v>
      </c>
      <c r="L9" s="357"/>
      <c r="M9" s="374">
        <f>-M8*$C$9</f>
        <v>-305.97693328124996</v>
      </c>
      <c r="N9" s="357"/>
      <c r="O9" s="374">
        <f>-O8*$C$9</f>
        <v>-313.62635661328113</v>
      </c>
      <c r="P9" s="357"/>
      <c r="Q9" s="374">
        <f>-Q8*$C$9</f>
        <v>-321.46701552861316</v>
      </c>
      <c r="R9" s="357"/>
      <c r="S9" s="374">
        <f>-S8*$C$9</f>
        <v>-329.50369091682842</v>
      </c>
      <c r="T9" s="357"/>
      <c r="U9" s="374">
        <f>-U8*$C$9</f>
        <v>-337.74128318974908</v>
      </c>
      <c r="V9" s="357"/>
      <c r="W9" s="374">
        <f>-W8*$C$9</f>
        <v>-346.18481526949279</v>
      </c>
      <c r="X9" s="357"/>
      <c r="Y9" s="374">
        <f>-Y8*$C$9</f>
        <v>-354.83943565123008</v>
      </c>
      <c r="Z9" s="357"/>
      <c r="AA9" s="374">
        <f>-AA8*$C$9</f>
        <v>-363.7104215425108</v>
      </c>
      <c r="AB9" s="357"/>
      <c r="AC9" s="374">
        <f>-AC8*$C$9</f>
        <v>-372.80318208107354</v>
      </c>
      <c r="AD9" s="357"/>
      <c r="AE9" s="374">
        <f>-AE8*$C$9</f>
        <v>-382.12326163310036</v>
      </c>
      <c r="AF9" s="357"/>
      <c r="AG9" s="374">
        <f>-AG8*$C$9</f>
        <v>-391.67634317392776</v>
      </c>
    </row>
    <row r="10" spans="1:34" s="359" customFormat="1" ht="15">
      <c r="A10" s="359" t="s">
        <v>926</v>
      </c>
      <c r="C10" s="350"/>
      <c r="E10" s="359">
        <f>SUM(E4:E9)</f>
        <v>1057714.8</v>
      </c>
      <c r="G10" s="359">
        <f>SUM(G4:G9)</f>
        <v>1084157.6700000002</v>
      </c>
      <c r="I10" s="359">
        <f>SUM(I4:I9)</f>
        <v>1111261.6117499999</v>
      </c>
      <c r="K10" s="359">
        <f>SUM(K4:K9)</f>
        <v>1139043.1520437498</v>
      </c>
      <c r="M10" s="359">
        <f>SUM(M4:M9)</f>
        <v>1167519.2308448437</v>
      </c>
      <c r="O10" s="359">
        <f>SUM(O4:O9)</f>
        <v>1196707.2116159643</v>
      </c>
      <c r="Q10" s="359">
        <f>SUM(Q4:Q9)</f>
        <v>1226624.8919063632</v>
      </c>
      <c r="S10" s="359">
        <f>SUM(S4:S9)</f>
        <v>1257290.5142040222</v>
      </c>
      <c r="U10" s="359">
        <f>SUM(U4:U9)</f>
        <v>1288722.7770591227</v>
      </c>
      <c r="W10" s="359">
        <f>SUM(W4:W9)</f>
        <v>1320940.8464856008</v>
      </c>
      <c r="Y10" s="359">
        <f>SUM(Y4:Y9)</f>
        <v>1353964.3676477408</v>
      </c>
      <c r="AA10" s="359">
        <f>SUM(AA4:AA9)</f>
        <v>1387813.4768389342</v>
      </c>
      <c r="AC10" s="359">
        <f>SUM(AC4:AC9)</f>
        <v>1422508.8137599076</v>
      </c>
      <c r="AE10" s="359">
        <f>SUM(AE4:AE9)</f>
        <v>1458071.5341039051</v>
      </c>
      <c r="AG10" s="359">
        <f>SUM(AG4:AG9)</f>
        <v>1494523.3224565026</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33000</v>
      </c>
      <c r="G14" s="355">
        <f>E14*$C$13</f>
        <v>34155</v>
      </c>
      <c r="I14" s="355">
        <f>G14*$C$13</f>
        <v>35350.424999999996</v>
      </c>
      <c r="K14" s="355">
        <f>I14*$C$13</f>
        <v>36587.689874999989</v>
      </c>
      <c r="M14" s="355">
        <f>K14*$C$13</f>
        <v>37868.259020624988</v>
      </c>
      <c r="O14" s="355">
        <f>M14*$C$13</f>
        <v>39193.648086346861</v>
      </c>
      <c r="Q14" s="355">
        <f>O14*$C$13</f>
        <v>40565.425769368994</v>
      </c>
      <c r="S14" s="355">
        <f>Q14*$C$13</f>
        <v>41985.215671296908</v>
      </c>
      <c r="U14" s="355">
        <f>S14*$C$13</f>
        <v>43454.698219792299</v>
      </c>
      <c r="W14" s="355">
        <f>U14*$C$13</f>
        <v>44975.612657485028</v>
      </c>
      <c r="Y14" s="355">
        <f>W14*$C$13</f>
        <v>46549.759100497002</v>
      </c>
      <c r="AA14" s="355">
        <f>Y14*$C$13</f>
        <v>48179.000669014393</v>
      </c>
      <c r="AC14" s="355">
        <f>AA14*$C$13</f>
        <v>49865.265692429894</v>
      </c>
      <c r="AE14" s="355">
        <f>AC14*$C$13</f>
        <v>51610.549991664935</v>
      </c>
      <c r="AG14" s="355">
        <f>AE14*$C$13</f>
        <v>53416.919241373202</v>
      </c>
    </row>
    <row r="15" spans="1:34" s="340" customFormat="1" ht="14.25">
      <c r="A15" s="340" t="s">
        <v>356</v>
      </c>
      <c r="C15" s="369"/>
      <c r="E15" s="358">
        <f>Application!W847</f>
        <v>63462.887999999992</v>
      </c>
      <c r="F15" s="358"/>
      <c r="G15" s="358">
        <f t="shared" ref="G15:AG20" si="0">E15*$C$13</f>
        <v>65684.089079999991</v>
      </c>
      <c r="H15" s="358"/>
      <c r="I15" s="358">
        <f t="shared" si="0"/>
        <v>67983.032197799985</v>
      </c>
      <c r="J15" s="358"/>
      <c r="K15" s="358">
        <f t="shared" si="0"/>
        <v>70362.438324722985</v>
      </c>
      <c r="L15" s="358"/>
      <c r="M15" s="358">
        <f t="shared" si="0"/>
        <v>72825.123666088286</v>
      </c>
      <c r="N15" s="358"/>
      <c r="O15" s="358">
        <f t="shared" si="0"/>
        <v>75374.002994401366</v>
      </c>
      <c r="P15" s="358"/>
      <c r="Q15" s="358">
        <f t="shared" si="0"/>
        <v>78012.093099205405</v>
      </c>
      <c r="R15" s="358"/>
      <c r="S15" s="358">
        <f t="shared" si="0"/>
        <v>80742.516357677581</v>
      </c>
      <c r="T15" s="358"/>
      <c r="U15" s="358">
        <f t="shared" si="0"/>
        <v>83568.504430196292</v>
      </c>
      <c r="V15" s="358"/>
      <c r="W15" s="358">
        <f t="shared" si="0"/>
        <v>86493.402085253154</v>
      </c>
      <c r="X15" s="358"/>
      <c r="Y15" s="358">
        <f t="shared" si="0"/>
        <v>89520.671158237004</v>
      </c>
      <c r="Z15" s="358"/>
      <c r="AA15" s="358">
        <f t="shared" si="0"/>
        <v>92653.894648775298</v>
      </c>
      <c r="AB15" s="358"/>
      <c r="AC15" s="358">
        <f t="shared" si="0"/>
        <v>95896.780961482422</v>
      </c>
      <c r="AD15" s="358"/>
      <c r="AE15" s="358">
        <f t="shared" si="0"/>
        <v>99253.168295134295</v>
      </c>
      <c r="AF15" s="358"/>
      <c r="AG15" s="358">
        <f t="shared" si="0"/>
        <v>102727.02918546399</v>
      </c>
    </row>
    <row r="16" spans="1:34" s="340" customFormat="1" ht="14.25">
      <c r="A16" s="340" t="s">
        <v>596</v>
      </c>
      <c r="C16" s="369"/>
      <c r="E16" s="358">
        <f>Application!W853</f>
        <v>36480</v>
      </c>
      <c r="F16" s="358"/>
      <c r="G16" s="358">
        <f t="shared" si="0"/>
        <v>37756.799999999996</v>
      </c>
      <c r="H16" s="358"/>
      <c r="I16" s="358">
        <f t="shared" si="0"/>
        <v>39078.287999999993</v>
      </c>
      <c r="J16" s="358"/>
      <c r="K16" s="358">
        <f t="shared" si="0"/>
        <v>40446.028079999989</v>
      </c>
      <c r="L16" s="358"/>
      <c r="M16" s="358">
        <f t="shared" si="0"/>
        <v>41861.639062799986</v>
      </c>
      <c r="N16" s="358"/>
      <c r="O16" s="358">
        <f t="shared" si="0"/>
        <v>43326.796429997979</v>
      </c>
      <c r="P16" s="358"/>
      <c r="Q16" s="358">
        <f t="shared" si="0"/>
        <v>44843.234305047903</v>
      </c>
      <c r="R16" s="358"/>
      <c r="S16" s="358">
        <f t="shared" si="0"/>
        <v>46412.747505724576</v>
      </c>
      <c r="T16" s="358"/>
      <c r="U16" s="358">
        <f t="shared" si="0"/>
        <v>48037.19366842493</v>
      </c>
      <c r="V16" s="358"/>
      <c r="W16" s="358">
        <f t="shared" si="0"/>
        <v>49718.495446819798</v>
      </c>
      <c r="X16" s="358"/>
      <c r="Y16" s="358">
        <f t="shared" si="0"/>
        <v>51458.642787458484</v>
      </c>
      <c r="Z16" s="358"/>
      <c r="AA16" s="358">
        <f t="shared" si="0"/>
        <v>53259.69528501953</v>
      </c>
      <c r="AB16" s="358"/>
      <c r="AC16" s="358">
        <f t="shared" si="0"/>
        <v>55123.784619995211</v>
      </c>
      <c r="AD16" s="358"/>
      <c r="AE16" s="358">
        <f t="shared" si="0"/>
        <v>57053.11708169504</v>
      </c>
      <c r="AF16" s="358"/>
      <c r="AG16" s="358">
        <f t="shared" si="0"/>
        <v>59049.97617955436</v>
      </c>
    </row>
    <row r="17" spans="1:33" s="340" customFormat="1" ht="14.25">
      <c r="A17" s="340" t="s">
        <v>909</v>
      </c>
      <c r="C17" s="369"/>
      <c r="E17" s="358">
        <f>Application!W860</f>
        <v>87945.5</v>
      </c>
      <c r="F17" s="358"/>
      <c r="G17" s="358">
        <f t="shared" si="0"/>
        <v>91023.592499999999</v>
      </c>
      <c r="H17" s="358"/>
      <c r="I17" s="358">
        <f t="shared" si="0"/>
        <v>94209.418237499995</v>
      </c>
      <c r="J17" s="358"/>
      <c r="K17" s="358">
        <f t="shared" si="0"/>
        <v>97506.747875812493</v>
      </c>
      <c r="L17" s="358"/>
      <c r="M17" s="358">
        <f t="shared" si="0"/>
        <v>100919.48405146592</v>
      </c>
      <c r="N17" s="358"/>
      <c r="O17" s="358">
        <f t="shared" si="0"/>
        <v>104451.66599326722</v>
      </c>
      <c r="P17" s="358"/>
      <c r="Q17" s="358">
        <f t="shared" si="0"/>
        <v>108107.47430303156</v>
      </c>
      <c r="R17" s="358"/>
      <c r="S17" s="358">
        <f t="shared" si="0"/>
        <v>111891.23590363766</v>
      </c>
      <c r="T17" s="358"/>
      <c r="U17" s="358">
        <f t="shared" si="0"/>
        <v>115807.42916026496</v>
      </c>
      <c r="V17" s="358"/>
      <c r="W17" s="358">
        <f t="shared" si="0"/>
        <v>119860.68918087422</v>
      </c>
      <c r="X17" s="358"/>
      <c r="Y17" s="358">
        <f t="shared" si="0"/>
        <v>124055.81330220481</v>
      </c>
      <c r="Z17" s="358"/>
      <c r="AA17" s="358">
        <f t="shared" si="0"/>
        <v>128397.76676778197</v>
      </c>
      <c r="AB17" s="358"/>
      <c r="AC17" s="358">
        <f t="shared" si="0"/>
        <v>132891.68860465434</v>
      </c>
      <c r="AD17" s="358"/>
      <c r="AE17" s="358">
        <f t="shared" si="0"/>
        <v>137542.89770581722</v>
      </c>
      <c r="AF17" s="358"/>
      <c r="AG17" s="358">
        <f t="shared" si="0"/>
        <v>142356.89912552081</v>
      </c>
    </row>
    <row r="18" spans="1:33" s="340" customFormat="1" ht="14.25">
      <c r="A18" s="340" t="s">
        <v>160</v>
      </c>
      <c r="C18" s="369"/>
      <c r="E18" s="358">
        <f>Application!W861</f>
        <v>24750</v>
      </c>
      <c r="F18" s="358"/>
      <c r="G18" s="358">
        <f t="shared" si="0"/>
        <v>25616.249999999996</v>
      </c>
      <c r="H18" s="358"/>
      <c r="I18" s="358">
        <f t="shared" si="0"/>
        <v>26512.818749999995</v>
      </c>
      <c r="J18" s="358"/>
      <c r="K18" s="358">
        <f t="shared" si="0"/>
        <v>27440.767406249994</v>
      </c>
      <c r="L18" s="358"/>
      <c r="M18" s="358">
        <f t="shared" si="0"/>
        <v>28401.194265468741</v>
      </c>
      <c r="N18" s="358"/>
      <c r="O18" s="358">
        <f t="shared" si="0"/>
        <v>29395.236064760145</v>
      </c>
      <c r="P18" s="358"/>
      <c r="Q18" s="358">
        <f t="shared" si="0"/>
        <v>30424.069327026747</v>
      </c>
      <c r="R18" s="358"/>
      <c r="S18" s="358">
        <f t="shared" si="0"/>
        <v>31488.911753472683</v>
      </c>
      <c r="T18" s="358"/>
      <c r="U18" s="358">
        <f t="shared" si="0"/>
        <v>32591.023664844226</v>
      </c>
      <c r="V18" s="358"/>
      <c r="W18" s="358">
        <f t="shared" si="0"/>
        <v>33731.709493113769</v>
      </c>
      <c r="X18" s="358"/>
      <c r="Y18" s="358">
        <f t="shared" si="0"/>
        <v>34912.319325372751</v>
      </c>
      <c r="Z18" s="358"/>
      <c r="AA18" s="358">
        <f t="shared" si="0"/>
        <v>36134.250501760798</v>
      </c>
      <c r="AB18" s="358"/>
      <c r="AC18" s="358">
        <f t="shared" si="0"/>
        <v>37398.949269322424</v>
      </c>
      <c r="AD18" s="358"/>
      <c r="AE18" s="358">
        <f t="shared" si="0"/>
        <v>38707.912493748707</v>
      </c>
      <c r="AF18" s="358"/>
      <c r="AG18" s="358">
        <f t="shared" si="0"/>
        <v>40062.68943102991</v>
      </c>
    </row>
    <row r="19" spans="1:33" s="340" customFormat="1" ht="14.25">
      <c r="A19" s="340" t="s">
        <v>411</v>
      </c>
      <c r="C19" s="369"/>
      <c r="E19" s="358">
        <f>Application!W870</f>
        <v>105840</v>
      </c>
      <c r="F19" s="358"/>
      <c r="G19" s="358">
        <f t="shared" si="0"/>
        <v>109544.4</v>
      </c>
      <c r="H19" s="358"/>
      <c r="I19" s="358">
        <f t="shared" si="0"/>
        <v>113378.45399999998</v>
      </c>
      <c r="J19" s="358"/>
      <c r="K19" s="358">
        <f t="shared" si="0"/>
        <v>117346.69988999997</v>
      </c>
      <c r="L19" s="358"/>
      <c r="M19" s="358">
        <f t="shared" si="0"/>
        <v>121453.83438614996</v>
      </c>
      <c r="N19" s="358"/>
      <c r="O19" s="358">
        <f t="shared" si="0"/>
        <v>125704.71858966519</v>
      </c>
      <c r="P19" s="358"/>
      <c r="Q19" s="358">
        <f t="shared" si="0"/>
        <v>130104.38374030347</v>
      </c>
      <c r="R19" s="358"/>
      <c r="S19" s="358">
        <f t="shared" si="0"/>
        <v>134658.03717121409</v>
      </c>
      <c r="T19" s="358"/>
      <c r="U19" s="358">
        <f t="shared" si="0"/>
        <v>139371.06847220656</v>
      </c>
      <c r="V19" s="358"/>
      <c r="W19" s="358">
        <f t="shared" si="0"/>
        <v>144249.05586873379</v>
      </c>
      <c r="X19" s="358"/>
      <c r="Y19" s="358">
        <f t="shared" si="0"/>
        <v>149297.77282413945</v>
      </c>
      <c r="Z19" s="358"/>
      <c r="AA19" s="358">
        <f t="shared" si="0"/>
        <v>154523.19487298431</v>
      </c>
      <c r="AB19" s="358"/>
      <c r="AC19" s="358">
        <f t="shared" si="0"/>
        <v>159931.50669353874</v>
      </c>
      <c r="AD19" s="358"/>
      <c r="AE19" s="358">
        <f t="shared" si="0"/>
        <v>165529.1094278126</v>
      </c>
      <c r="AF19" s="358"/>
      <c r="AG19" s="358">
        <f t="shared" si="0"/>
        <v>171322.62825778601</v>
      </c>
    </row>
    <row r="20" spans="1:33" s="340" customFormat="1" ht="14.25">
      <c r="A20" s="362" t="s">
        <v>1045</v>
      </c>
      <c r="B20" s="362"/>
      <c r="C20" s="369"/>
      <c r="E20" s="368">
        <f>Application!W877</f>
        <v>4400</v>
      </c>
      <c r="F20" s="358"/>
      <c r="G20" s="368">
        <f t="shared" si="0"/>
        <v>4554</v>
      </c>
      <c r="H20" s="358"/>
      <c r="I20" s="368">
        <f t="shared" si="0"/>
        <v>4713.3899999999994</v>
      </c>
      <c r="J20" s="358"/>
      <c r="K20" s="368">
        <f t="shared" si="0"/>
        <v>4878.3586499999992</v>
      </c>
      <c r="L20" s="358"/>
      <c r="M20" s="368">
        <f t="shared" si="0"/>
        <v>5049.1012027499992</v>
      </c>
      <c r="N20" s="358"/>
      <c r="O20" s="368">
        <f t="shared" si="0"/>
        <v>5225.8197448462488</v>
      </c>
      <c r="P20" s="358"/>
      <c r="Q20" s="368">
        <f t="shared" si="0"/>
        <v>5408.7234359158674</v>
      </c>
      <c r="R20" s="358"/>
      <c r="S20" s="368">
        <f t="shared" si="0"/>
        <v>5598.0287561729219</v>
      </c>
      <c r="T20" s="358"/>
      <c r="U20" s="368">
        <f t="shared" si="0"/>
        <v>5793.9597626389741</v>
      </c>
      <c r="V20" s="358"/>
      <c r="W20" s="368">
        <f t="shared" si="0"/>
        <v>5996.7483543313374</v>
      </c>
      <c r="X20" s="358"/>
      <c r="Y20" s="368">
        <f t="shared" si="0"/>
        <v>6206.6345467329338</v>
      </c>
      <c r="Z20" s="358"/>
      <c r="AA20" s="368">
        <f t="shared" si="0"/>
        <v>6423.8667558685856</v>
      </c>
      <c r="AB20" s="358"/>
      <c r="AC20" s="368">
        <f t="shared" si="0"/>
        <v>6648.7020923239852</v>
      </c>
      <c r="AD20" s="358"/>
      <c r="AE20" s="368">
        <f t="shared" si="0"/>
        <v>6881.4066655553243</v>
      </c>
      <c r="AF20" s="358"/>
      <c r="AG20" s="368">
        <f t="shared" si="0"/>
        <v>7122.2558988497603</v>
      </c>
    </row>
    <row r="21" spans="1:33" s="359" customFormat="1" ht="15">
      <c r="A21" s="359" t="s">
        <v>910</v>
      </c>
      <c r="C21" s="369"/>
      <c r="E21" s="359">
        <f>SUM(E14:E20)</f>
        <v>355878.38799999998</v>
      </c>
      <c r="G21" s="359">
        <f>SUM(G14:G20)</f>
        <v>368334.13157999999</v>
      </c>
      <c r="I21" s="359">
        <f>SUM(I14:I20)</f>
        <v>381225.82618529996</v>
      </c>
      <c r="K21" s="359">
        <f>SUM(K14:K20)</f>
        <v>394568.73010178545</v>
      </c>
      <c r="M21" s="359">
        <f>SUM(M14:M20)</f>
        <v>408378.63565534784</v>
      </c>
      <c r="O21" s="359">
        <f>SUM(O14:O20)</f>
        <v>422671.88790328498</v>
      </c>
      <c r="Q21" s="359">
        <f>SUM(Q14:Q20)</f>
        <v>437465.40397989994</v>
      </c>
      <c r="S21" s="359">
        <f>SUM(S14:S20)</f>
        <v>452776.6931191964</v>
      </c>
      <c r="U21" s="359">
        <f>SUM(U14:U20)</f>
        <v>468623.87737836823</v>
      </c>
      <c r="W21" s="359">
        <f>SUM(W14:W20)</f>
        <v>485025.71308661113</v>
      </c>
      <c r="Y21" s="359">
        <f>SUM(Y14:Y20)</f>
        <v>502001.61304464244</v>
      </c>
      <c r="AA21" s="359">
        <f>SUM(AA14:AA20)</f>
        <v>519571.66950120492</v>
      </c>
      <c r="AC21" s="359">
        <f>SUM(AC14:AC20)</f>
        <v>537756.67793374707</v>
      </c>
      <c r="AE21" s="359">
        <f>SUM(AE14:AE20)</f>
        <v>556578.16166142817</v>
      </c>
      <c r="AG21" s="359">
        <f>SUM(AG14:AG20)</f>
        <v>576058.3973195781</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2178</v>
      </c>
      <c r="C23" s="369"/>
      <c r="E23" s="1526"/>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27720</v>
      </c>
      <c r="F25" s="358"/>
      <c r="G25" s="358">
        <f>E25*$C$25</f>
        <v>28690.199999999997</v>
      </c>
      <c r="H25" s="358"/>
      <c r="I25" s="358">
        <f>G25*$C$25</f>
        <v>29694.356999999996</v>
      </c>
      <c r="J25" s="358"/>
      <c r="K25" s="358">
        <f>I25*$C$25</f>
        <v>30733.659494999993</v>
      </c>
      <c r="L25" s="358"/>
      <c r="M25" s="358">
        <f>K25*$C$25</f>
        <v>31809.33757732499</v>
      </c>
      <c r="N25" s="358"/>
      <c r="O25" s="358">
        <f>M25*$C$25</f>
        <v>32922.664392531362</v>
      </c>
      <c r="P25" s="358"/>
      <c r="Q25" s="358">
        <f>O25*$C$25</f>
        <v>34074.957646269955</v>
      </c>
      <c r="R25" s="358"/>
      <c r="S25" s="358">
        <f>Q25*$C$25</f>
        <v>35267.581163889401</v>
      </c>
      <c r="T25" s="358"/>
      <c r="U25" s="358">
        <f>S25*$C$25</f>
        <v>36501.946504625528</v>
      </c>
      <c r="V25" s="358"/>
      <c r="W25" s="358">
        <f>U25*$C$25</f>
        <v>37779.514632287421</v>
      </c>
      <c r="X25" s="358"/>
      <c r="Y25" s="358">
        <f>W25*$C$25</f>
        <v>39101.797644417478</v>
      </c>
      <c r="Z25" s="358"/>
      <c r="AA25" s="358">
        <f>Y25*$C$25</f>
        <v>40470.360561972084</v>
      </c>
      <c r="AB25" s="358"/>
      <c r="AC25" s="358">
        <f>AA25*$C$25</f>
        <v>41886.823181641106</v>
      </c>
      <c r="AD25" s="358"/>
      <c r="AE25" s="358">
        <f>AC25*$C$25</f>
        <v>43352.861992998543</v>
      </c>
      <c r="AF25" s="358"/>
      <c r="AG25" s="358">
        <f>AE25*$C$25</f>
        <v>44870.212162753487</v>
      </c>
    </row>
    <row r="26" spans="1:33" s="340" customFormat="1" ht="14.25">
      <c r="A26" s="340" t="s">
        <v>912</v>
      </c>
      <c r="C26" s="377">
        <v>1.0349999999999999</v>
      </c>
      <c r="E26" s="358">
        <f>Application!AC886</f>
        <v>0</v>
      </c>
      <c r="F26" s="358"/>
      <c r="G26" s="358">
        <f>E26*$C$26</f>
        <v>0</v>
      </c>
      <c r="H26" s="358"/>
      <c r="I26" s="358">
        <f>G26*$C$26</f>
        <v>0</v>
      </c>
      <c r="J26" s="358"/>
      <c r="K26" s="358">
        <f>I26*$C$26</f>
        <v>0</v>
      </c>
      <c r="L26" s="358"/>
      <c r="M26" s="358">
        <f>K26*$C$26</f>
        <v>0</v>
      </c>
      <c r="N26" s="358"/>
      <c r="O26" s="358">
        <f>M26*$C$26</f>
        <v>0</v>
      </c>
      <c r="P26" s="358"/>
      <c r="Q26" s="358">
        <f>O26*$C$26</f>
        <v>0</v>
      </c>
      <c r="R26" s="358"/>
      <c r="S26" s="358">
        <f>Q26*$C$26</f>
        <v>0</v>
      </c>
      <c r="T26" s="358"/>
      <c r="U26" s="358">
        <f>S26*$C$26</f>
        <v>0</v>
      </c>
      <c r="V26" s="358"/>
      <c r="W26" s="358">
        <f>U26*$C$26</f>
        <v>0</v>
      </c>
      <c r="X26" s="358"/>
      <c r="Y26" s="358">
        <f>W26*$C$26</f>
        <v>0</v>
      </c>
      <c r="Z26" s="358"/>
      <c r="AA26" s="358">
        <f>Y26*$C$26</f>
        <v>0</v>
      </c>
      <c r="AB26" s="358"/>
      <c r="AC26" s="358">
        <f>AA26*$C$26</f>
        <v>0</v>
      </c>
      <c r="AD26" s="358"/>
      <c r="AE26" s="358">
        <f>AC26*$C$26</f>
        <v>0</v>
      </c>
      <c r="AF26" s="358"/>
      <c r="AG26" s="358">
        <f>AE26*$C$26</f>
        <v>0</v>
      </c>
    </row>
    <row r="27" spans="1:33" s="340" customFormat="1" ht="14.25">
      <c r="A27" s="340" t="s">
        <v>913</v>
      </c>
      <c r="C27" s="377"/>
      <c r="E27" s="358">
        <f>Application!AC887</f>
        <v>33000</v>
      </c>
      <c r="F27" s="358"/>
      <c r="G27" s="358">
        <f>$E$27</f>
        <v>33000</v>
      </c>
      <c r="H27" s="358"/>
      <c r="I27" s="358">
        <f>$E$27</f>
        <v>33000</v>
      </c>
      <c r="J27" s="358"/>
      <c r="K27" s="358">
        <f>$E$27</f>
        <v>33000</v>
      </c>
      <c r="L27" s="358"/>
      <c r="M27" s="358">
        <f>$E$27</f>
        <v>33000</v>
      </c>
      <c r="N27" s="358"/>
      <c r="O27" s="358">
        <f>$E$27</f>
        <v>33000</v>
      </c>
      <c r="P27" s="358"/>
      <c r="Q27" s="358">
        <f>$E$27</f>
        <v>33000</v>
      </c>
      <c r="R27" s="358"/>
      <c r="S27" s="358">
        <f>$E$27</f>
        <v>33000</v>
      </c>
      <c r="T27" s="358"/>
      <c r="U27" s="358">
        <f>$E$27</f>
        <v>33000</v>
      </c>
      <c r="V27" s="358"/>
      <c r="W27" s="358">
        <f>$E$27</f>
        <v>33000</v>
      </c>
      <c r="X27" s="358"/>
      <c r="Y27" s="358">
        <f>$E$27</f>
        <v>33000</v>
      </c>
      <c r="Z27" s="358"/>
      <c r="AA27" s="358">
        <f>$E$27</f>
        <v>33000</v>
      </c>
      <c r="AB27" s="358"/>
      <c r="AC27" s="358">
        <f>$E$27</f>
        <v>33000</v>
      </c>
      <c r="AD27" s="358"/>
      <c r="AE27" s="358">
        <f>$E$27</f>
        <v>33000</v>
      </c>
      <c r="AF27" s="358"/>
      <c r="AG27" s="358">
        <f>$E$27</f>
        <v>33000</v>
      </c>
    </row>
    <row r="28" spans="1:33" s="340" customFormat="1" ht="14.25">
      <c r="A28" s="340" t="s">
        <v>2176</v>
      </c>
      <c r="C28" s="375">
        <v>1</v>
      </c>
      <c r="E28" s="358">
        <f>Application!AC888</f>
        <v>28079.920600000001</v>
      </c>
      <c r="F28" s="358"/>
      <c r="G28" s="358">
        <f>E28*$C$28</f>
        <v>28079.920600000001</v>
      </c>
      <c r="H28" s="358"/>
      <c r="I28" s="358">
        <f>G28*$C$28</f>
        <v>28079.920600000001</v>
      </c>
      <c r="J28" s="358"/>
      <c r="K28" s="358">
        <f>I28*$C$28</f>
        <v>28079.920600000001</v>
      </c>
      <c r="L28" s="358"/>
      <c r="M28" s="358">
        <f>K28*$C$28</f>
        <v>28079.920600000001</v>
      </c>
      <c r="N28" s="358"/>
      <c r="O28" s="358">
        <f>M28*$C$28</f>
        <v>28079.920600000001</v>
      </c>
      <c r="P28" s="358"/>
      <c r="Q28" s="358">
        <f>O28*$C$28</f>
        <v>28079.920600000001</v>
      </c>
      <c r="R28" s="358"/>
      <c r="S28" s="358">
        <f>Q28*$C$28</f>
        <v>28079.920600000001</v>
      </c>
      <c r="T28" s="358"/>
      <c r="U28" s="358">
        <f>S28*$C$28</f>
        <v>28079.920600000001</v>
      </c>
      <c r="V28" s="358"/>
      <c r="W28" s="358">
        <f>U28*$C$28</f>
        <v>28079.920600000001</v>
      </c>
      <c r="X28" s="358"/>
      <c r="Y28" s="358">
        <f>W28*$C$28</f>
        <v>28079.920600000001</v>
      </c>
      <c r="Z28" s="358"/>
      <c r="AA28" s="358">
        <f>Y28*$C$28</f>
        <v>28079.920600000001</v>
      </c>
      <c r="AB28" s="358"/>
      <c r="AC28" s="358">
        <f>AA28*$C$28</f>
        <v>28079.920600000001</v>
      </c>
      <c r="AD28" s="358"/>
      <c r="AE28" s="358">
        <f>AC28*$C$28</f>
        <v>28079.920600000001</v>
      </c>
      <c r="AF28" s="358"/>
      <c r="AG28" s="358">
        <f>AE28*$C$28</f>
        <v>28079.920600000001</v>
      </c>
    </row>
    <row r="29" spans="1:33" s="340" customFormat="1" ht="14.25">
      <c r="A29" s="340" t="s">
        <v>911</v>
      </c>
      <c r="C29" s="375">
        <v>1.02</v>
      </c>
      <c r="E29" s="358">
        <f>Application!AC889</f>
        <v>2400</v>
      </c>
      <c r="F29" s="358"/>
      <c r="G29" s="358">
        <f>E29*$C$29</f>
        <v>2448</v>
      </c>
      <c r="H29" s="358"/>
      <c r="I29" s="358">
        <f>G29*$C$29</f>
        <v>2496.96</v>
      </c>
      <c r="J29" s="358"/>
      <c r="K29" s="358">
        <f>I29*$C$29</f>
        <v>2546.8992000000003</v>
      </c>
      <c r="L29" s="358"/>
      <c r="M29" s="358">
        <f>K29*$C$29</f>
        <v>2597.8371840000004</v>
      </c>
      <c r="N29" s="358"/>
      <c r="O29" s="358">
        <f>M29*$C$29</f>
        <v>2649.7939276800007</v>
      </c>
      <c r="P29" s="358"/>
      <c r="Q29" s="358">
        <f>O29*$C$29</f>
        <v>2702.7898062336008</v>
      </c>
      <c r="R29" s="358"/>
      <c r="S29" s="358">
        <f>Q29*$C$29</f>
        <v>2756.845602358273</v>
      </c>
      <c r="T29" s="358"/>
      <c r="U29" s="358">
        <f>S29*$C$29</f>
        <v>2811.9825144054385</v>
      </c>
      <c r="V29" s="358"/>
      <c r="W29" s="358">
        <f>U29*$C$29</f>
        <v>2868.2221646935473</v>
      </c>
      <c r="X29" s="358"/>
      <c r="Y29" s="358">
        <f>W29*$C$29</f>
        <v>2925.5866079874181</v>
      </c>
      <c r="Z29" s="358"/>
      <c r="AA29" s="358">
        <f>Y29*$C$29</f>
        <v>2984.0983401471667</v>
      </c>
      <c r="AB29" s="358"/>
      <c r="AC29" s="358">
        <f>AA29*$C$29</f>
        <v>3043.7803069501101</v>
      </c>
      <c r="AD29" s="358"/>
      <c r="AE29" s="358">
        <f>AC29*$C$29</f>
        <v>3104.6559130891123</v>
      </c>
      <c r="AF29" s="358"/>
      <c r="AG29" s="358">
        <f>AE29*$C$29</f>
        <v>3166.7490313508947</v>
      </c>
    </row>
    <row r="30" spans="1:33" s="340" customFormat="1" ht="14.25">
      <c r="A30" s="340" t="s">
        <v>2177</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447078.30859999999</v>
      </c>
      <c r="G34" s="359">
        <f>SUM(G21:G32)</f>
        <v>460552.25218000001</v>
      </c>
      <c r="I34" s="359">
        <f>SUM(I21:I32)</f>
        <v>474497.06378530001</v>
      </c>
      <c r="K34" s="359">
        <f>SUM(K21:K32)</f>
        <v>488929.20939678542</v>
      </c>
      <c r="M34" s="359">
        <f>SUM(M21:M32)</f>
        <v>503865.73101667286</v>
      </c>
      <c r="O34" s="359">
        <f>SUM(O21:O32)</f>
        <v>519324.26682349638</v>
      </c>
      <c r="Q34" s="359">
        <f>SUM(Q21:Q32)</f>
        <v>535323.07203240343</v>
      </c>
      <c r="S34" s="359">
        <f>SUM(S21:S32)</f>
        <v>551881.04048544401</v>
      </c>
      <c r="U34" s="359">
        <f>SUM(U21:U32)</f>
        <v>569017.72699739912</v>
      </c>
      <c r="W34" s="359">
        <f>SUM(W21:W32)</f>
        <v>586753.37048359204</v>
      </c>
      <c r="Y34" s="359">
        <f>SUM(Y21:Y32)</f>
        <v>605108.91789704724</v>
      </c>
      <c r="AA34" s="359">
        <f>SUM(AA21:AA32)</f>
        <v>624106.04900332412</v>
      </c>
      <c r="AC34" s="359">
        <f>SUM(AC21:AC32)</f>
        <v>643767.20202233817</v>
      </c>
      <c r="AE34" s="359">
        <f>SUM(AE21:AE32)</f>
        <v>664115.6001675158</v>
      </c>
      <c r="AG34" s="359">
        <f>SUM(AG21:AG32)</f>
        <v>685175.27911368245</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610636.49140000006</v>
      </c>
      <c r="G36" s="359">
        <f>G10-G34</f>
        <v>623605.41782000009</v>
      </c>
      <c r="I36" s="359">
        <f>I10-I34</f>
        <v>636764.54796469992</v>
      </c>
      <c r="K36" s="359">
        <f>K10-K34</f>
        <v>650113.94264696445</v>
      </c>
      <c r="M36" s="359">
        <f>M10-M34</f>
        <v>663653.49982817075</v>
      </c>
      <c r="O36" s="359">
        <f>O10-O34</f>
        <v>677382.94479246787</v>
      </c>
      <c r="Q36" s="359">
        <f>Q10-Q34</f>
        <v>691301.81987395976</v>
      </c>
      <c r="S36" s="359">
        <f>S10-S34</f>
        <v>705409.47371857823</v>
      </c>
      <c r="U36" s="359">
        <f>U10-U34</f>
        <v>719705.05006172357</v>
      </c>
      <c r="W36" s="359">
        <f>W10-W34</f>
        <v>734187.47600200877</v>
      </c>
      <c r="Y36" s="359">
        <f>Y10-Y34</f>
        <v>748855.44975069351</v>
      </c>
      <c r="AA36" s="359">
        <f>AA10-AA34</f>
        <v>763707.42783561011</v>
      </c>
      <c r="AC36" s="359">
        <f>AC10-AC34</f>
        <v>778741.61173756944</v>
      </c>
      <c r="AE36" s="359">
        <f>AE10-AE34</f>
        <v>793955.93393638928</v>
      </c>
      <c r="AG36" s="359">
        <f>AG10-AG34</f>
        <v>809348.04334282014</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BellwetherEnterprise - perm loan</v>
      </c>
      <c r="B39" s="362"/>
      <c r="C39" s="356"/>
      <c r="E39" s="358">
        <f>Application!AF637</f>
        <v>527982.89331448637</v>
      </c>
      <c r="F39" s="358"/>
      <c r="G39" s="358">
        <f>$E$39</f>
        <v>527982.89331448637</v>
      </c>
      <c r="H39" s="358"/>
      <c r="I39" s="358">
        <f>$E$39</f>
        <v>527982.89331448637</v>
      </c>
      <c r="J39" s="358"/>
      <c r="K39" s="358">
        <f>$E$39</f>
        <v>527982.89331448637</v>
      </c>
      <c r="L39" s="358"/>
      <c r="M39" s="358">
        <f>$E$39</f>
        <v>527982.89331448637</v>
      </c>
      <c r="N39" s="358"/>
      <c r="O39" s="358">
        <f>$E$39</f>
        <v>527982.89331448637</v>
      </c>
      <c r="P39" s="358"/>
      <c r="Q39" s="358">
        <f>$E$39</f>
        <v>527982.89331448637</v>
      </c>
      <c r="R39" s="358"/>
      <c r="S39" s="358">
        <f>$E$39</f>
        <v>527982.89331448637</v>
      </c>
      <c r="T39" s="358"/>
      <c r="U39" s="358">
        <f>$E$39</f>
        <v>527982.89331448637</v>
      </c>
      <c r="V39" s="358"/>
      <c r="W39" s="358">
        <f>$E$39</f>
        <v>527982.89331448637</v>
      </c>
      <c r="X39" s="358"/>
      <c r="Y39" s="358">
        <f>$E$39</f>
        <v>527982.89331448637</v>
      </c>
      <c r="Z39" s="358"/>
      <c r="AA39" s="358">
        <f>$E$39</f>
        <v>527982.89331448637</v>
      </c>
      <c r="AB39" s="358"/>
      <c r="AC39" s="358">
        <f>$E$39</f>
        <v>527982.89331448637</v>
      </c>
      <c r="AD39" s="358"/>
      <c r="AE39" s="358">
        <f>$E$39</f>
        <v>527982.89331448637</v>
      </c>
      <c r="AF39" s="358"/>
      <c r="AG39" s="358">
        <f>$E$39</f>
        <v>527982.89331448637</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527982.89331448637</v>
      </c>
      <c r="G42" s="359">
        <f>SUM(G39:G41)</f>
        <v>527982.89331448637</v>
      </c>
      <c r="I42" s="359">
        <f>SUM(I39:I41)</f>
        <v>527982.89331448637</v>
      </c>
      <c r="K42" s="359">
        <f>SUM(K39:K41)</f>
        <v>527982.89331448637</v>
      </c>
      <c r="M42" s="359">
        <f>SUM(M39:M41)</f>
        <v>527982.89331448637</v>
      </c>
      <c r="O42" s="359">
        <f>SUM(O39:O41)</f>
        <v>527982.89331448637</v>
      </c>
      <c r="Q42" s="359">
        <f>SUM(Q39:Q41)</f>
        <v>527982.89331448637</v>
      </c>
      <c r="S42" s="359">
        <f>SUM(S39:S41)</f>
        <v>527982.89331448637</v>
      </c>
      <c r="U42" s="359">
        <f>SUM(U39:U41)</f>
        <v>527982.89331448637</v>
      </c>
      <c r="W42" s="359">
        <f>SUM(W39:W41)</f>
        <v>527982.89331448637</v>
      </c>
      <c r="Y42" s="359">
        <f>SUM(Y39:Y41)</f>
        <v>527982.89331448637</v>
      </c>
      <c r="AA42" s="359">
        <f>SUM(AA39:AA41)</f>
        <v>527982.89331448637</v>
      </c>
      <c r="AC42" s="359">
        <f>SUM(AC39:AC41)</f>
        <v>527982.89331448637</v>
      </c>
      <c r="AE42" s="359">
        <f>SUM(AE39:AE41)</f>
        <v>527982.89331448637</v>
      </c>
      <c r="AG42" s="359">
        <f>SUM(AG39:AG41)</f>
        <v>527982.89331448637</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82653.598085513688</v>
      </c>
      <c r="G44" s="359">
        <f>G36-G42</f>
        <v>95622.52450551372</v>
      </c>
      <c r="I44" s="359">
        <f>I36-I42</f>
        <v>108781.65465021355</v>
      </c>
      <c r="K44" s="359">
        <f>K36-K42</f>
        <v>122131.04933247808</v>
      </c>
      <c r="M44" s="359">
        <f>M36-M42</f>
        <v>135670.60651368438</v>
      </c>
      <c r="O44" s="359">
        <f>O36-O42</f>
        <v>149400.0514779815</v>
      </c>
      <c r="Q44" s="359">
        <f>Q36-Q42</f>
        <v>163318.92655947339</v>
      </c>
      <c r="S44" s="359">
        <f>S36-S42</f>
        <v>177426.58040409186</v>
      </c>
      <c r="U44" s="359">
        <f>U36-U42</f>
        <v>191722.1567472372</v>
      </c>
      <c r="W44" s="359">
        <f>W36-W42</f>
        <v>206204.5826875224</v>
      </c>
      <c r="Y44" s="359">
        <f>Y36-Y42</f>
        <v>220872.55643620715</v>
      </c>
      <c r="AA44" s="359">
        <f>AA36-AA42</f>
        <v>235724.53452112374</v>
      </c>
      <c r="AC44" s="359">
        <f>AC36-AC42</f>
        <v>250758.71842308308</v>
      </c>
      <c r="AE44" s="359">
        <f>AE36-AE42</f>
        <v>265973.04062190291</v>
      </c>
      <c r="AG44" s="359">
        <f>AG36-AG42</f>
        <v>281365.15002833377</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7.4236380337344254E-2</v>
      </c>
      <c r="G46" s="363">
        <f>G44/(G4+G6+G8)</f>
        <v>8.3789840531440438E-2</v>
      </c>
      <c r="I46" s="363">
        <f>I44/(I4+I6+I8)</f>
        <v>9.2995718402402464E-2</v>
      </c>
      <c r="K46" s="363">
        <f>K44/(K4+K6+K8)</f>
        <v>0.10186137079852947</v>
      </c>
      <c r="M46" s="363">
        <f>M44/(M4+M6+M8)</f>
        <v>0.11039396421310727</v>
      </c>
      <c r="O46" s="363">
        <f>O44/(O4+O6+O8)</f>
        <v>0.11860047932060863</v>
      </c>
      <c r="Q46" s="363">
        <f>Q44/(Q4+Q6+Q8)</f>
        <v>0.12648771540121623</v>
      </c>
      <c r="S46" s="363">
        <f>S44/(S4+S6+S8)</f>
        <v>0.1340622946563769</v>
      </c>
      <c r="U46" s="363">
        <f>U44/(U4+U6+U8)</f>
        <v>0.14133066641804179</v>
      </c>
      <c r="W46" s="363">
        <f>W44/(W4+W6+W8)</f>
        <v>0.14829911125417053</v>
      </c>
      <c r="Y46" s="363">
        <f>Y44/(Y4+Y6+Y8)</f>
        <v>0.15497374497301963</v>
      </c>
      <c r="AA46" s="363">
        <f>AA44/(AA4+AA6+AA8)</f>
        <v>0.16136052252867494</v>
      </c>
      <c r="AC46" s="363">
        <f>AC44/(AC4+AC6+AC8)</f>
        <v>0.16746524183022465</v>
      </c>
      <c r="AE46" s="363">
        <f>AE44/(AE4+AE6+AE8)</f>
        <v>0.17329354745691214</v>
      </c>
      <c r="AG46" s="363">
        <f>AG44/(AG4+AG6+AG8)</f>
        <v>0.17885093428155358</v>
      </c>
    </row>
    <row r="47" spans="1:33" s="363" customFormat="1" ht="14.25">
      <c r="A47" s="363" t="s">
        <v>919</v>
      </c>
      <c r="C47" s="356"/>
      <c r="E47" s="363">
        <f>E44/E42</f>
        <v>0.15654597740211654</v>
      </c>
      <c r="G47" s="363">
        <f>G44/G42</f>
        <v>0.181109133868391</v>
      </c>
      <c r="I47" s="363">
        <f>I44/I42</f>
        <v>0.20603253633336777</v>
      </c>
      <c r="K47" s="363">
        <f>K44/K42</f>
        <v>0.23131629997665901</v>
      </c>
      <c r="M47" s="363">
        <f>M44/M42</f>
        <v>0.25696023153703562</v>
      </c>
      <c r="O47" s="363">
        <f>O44/O42</f>
        <v>0.28296381070246768</v>
      </c>
      <c r="Q47" s="363">
        <f>Q44/Q42</f>
        <v>0.30932617065340129</v>
      </c>
      <c r="S47" s="363">
        <f>S44/S42</f>
        <v>0.33604607772473782</v>
      </c>
      <c r="U47" s="363">
        <f>U44/U42</f>
        <v>0.36312191015067663</v>
      </c>
      <c r="W47" s="363">
        <f>W44/W42</f>
        <v>0.39055163585517766</v>
      </c>
      <c r="Y47" s="363">
        <f>Y44/Y42</f>
        <v>0.41833278924938044</v>
      </c>
      <c r="AA47" s="363">
        <f>AA44/AA42</f>
        <v>0.44646244699582982</v>
      </c>
      <c r="AC47" s="363">
        <f>AC44/AC42</f>
        <v>0.47493720269781886</v>
      </c>
      <c r="AE47" s="363">
        <f>AE44/AE42</f>
        <v>0.50375314047055575</v>
      </c>
      <c r="AG47" s="363">
        <f>AG44/AG42</f>
        <v>0.53290580734922055</v>
      </c>
    </row>
    <row r="48" spans="1:33" s="364" customFormat="1" ht="14.25">
      <c r="A48" s="364" t="s">
        <v>917</v>
      </c>
      <c r="C48" s="365"/>
      <c r="E48" s="364">
        <f>E36/E42</f>
        <v>1.1565459774021165</v>
      </c>
      <c r="G48" s="364">
        <f>G36/G42</f>
        <v>1.181109133868391</v>
      </c>
      <c r="I48" s="364">
        <f>I36/I42</f>
        <v>1.2060325363333677</v>
      </c>
      <c r="K48" s="364">
        <f>K36/K42</f>
        <v>1.2313162999766589</v>
      </c>
      <c r="M48" s="364">
        <f>M36/M42</f>
        <v>1.2569602315370356</v>
      </c>
      <c r="O48" s="364">
        <f>O36/O42</f>
        <v>1.2829638107024677</v>
      </c>
      <c r="Q48" s="364">
        <f>Q36/Q42</f>
        <v>1.3093261706534014</v>
      </c>
      <c r="S48" s="364">
        <f>S36/S42</f>
        <v>1.3360460777247378</v>
      </c>
      <c r="U48" s="364">
        <f>U36/U42</f>
        <v>1.3631219101506766</v>
      </c>
      <c r="W48" s="364">
        <f>W36/W42</f>
        <v>1.3905516358551777</v>
      </c>
      <c r="Y48" s="364">
        <f>Y36/Y42</f>
        <v>1.4183327892493804</v>
      </c>
      <c r="AA48" s="364">
        <f>AA36/AA42</f>
        <v>1.4464624469958298</v>
      </c>
      <c r="AC48" s="364">
        <f>AC36/AC42</f>
        <v>1.4749372026978189</v>
      </c>
      <c r="AE48" s="364">
        <f>AE36/AE42</f>
        <v>1.5037531404705557</v>
      </c>
      <c r="AG48" s="364">
        <f>AG36/AG42</f>
        <v>1.5329058073492206</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598"/>
      <c r="E50" s="1597"/>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1597"/>
      <c r="AB50" s="1597"/>
      <c r="AC50" s="1597"/>
      <c r="AD50" s="1597"/>
      <c r="AE50" s="1597"/>
      <c r="AF50" s="1597"/>
      <c r="AG50" s="1597"/>
    </row>
    <row r="51" spans="1:35" s="6" customFormat="1">
      <c r="A51" s="3253" t="s">
        <v>1388</v>
      </c>
      <c r="B51" s="3253"/>
      <c r="C51" s="3253"/>
      <c r="D51" s="1597"/>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1597"/>
      <c r="AB51" s="1597"/>
      <c r="AC51" s="1597"/>
      <c r="AD51" s="1597"/>
      <c r="AE51" s="1597"/>
      <c r="AF51" s="1597"/>
      <c r="AG51" s="1597"/>
    </row>
    <row r="52" spans="1:35" s="1599" customFormat="1">
      <c r="A52" s="1599" t="s">
        <v>921</v>
      </c>
      <c r="C52" s="1600">
        <f>C53</f>
        <v>1.0349999999999999</v>
      </c>
      <c r="E52" s="1601">
        <f>35671-E53</f>
        <v>28671</v>
      </c>
      <c r="G52" s="1597">
        <f>E52*$C$52</f>
        <v>29674.484999999997</v>
      </c>
      <c r="I52" s="1597">
        <f>G52*$C$52</f>
        <v>30713.091974999996</v>
      </c>
      <c r="K52" s="1597">
        <f>I52*$C$52</f>
        <v>31788.050194124993</v>
      </c>
      <c r="M52" s="1597">
        <f>K52*$C$52</f>
        <v>32900.631950919364</v>
      </c>
      <c r="O52" s="1597">
        <f>M52*$C$52</f>
        <v>34052.154069201541</v>
      </c>
      <c r="Q52" s="1597">
        <f>O52*$C$52</f>
        <v>35243.979461623589</v>
      </c>
      <c r="S52" s="1597">
        <f>Q52*$C$52</f>
        <v>36477.518742780412</v>
      </c>
      <c r="U52" s="1597">
        <f>S52*$C$52</f>
        <v>37754.231898777725</v>
      </c>
      <c r="W52" s="1597">
        <f>U52*$C$52</f>
        <v>39075.630015234943</v>
      </c>
      <c r="Y52" s="1597">
        <f>W52*$C$52</f>
        <v>40443.277065768161</v>
      </c>
      <c r="AA52" s="1597">
        <f>Y52*$C$52</f>
        <v>41858.791763070047</v>
      </c>
      <c r="AC52" s="1597">
        <f>AA52*$C$52</f>
        <v>43323.849474777497</v>
      </c>
      <c r="AE52" s="1597">
        <f>AC52*$C$52</f>
        <v>44840.184206394704</v>
      </c>
      <c r="AG52" s="1597">
        <f>AE52*$C$52</f>
        <v>46409.590653618514</v>
      </c>
    </row>
    <row r="53" spans="1:35" s="6" customFormat="1">
      <c r="A53" s="6" t="s">
        <v>922</v>
      </c>
      <c r="C53" s="1688">
        <v>1.0349999999999999</v>
      </c>
      <c r="E53" s="1602">
        <v>7000</v>
      </c>
      <c r="F53" s="1597"/>
      <c r="G53" s="1597">
        <f>E53*$C$53</f>
        <v>7244.9999999999991</v>
      </c>
      <c r="H53" s="1597"/>
      <c r="I53" s="1597">
        <f t="shared" ref="I53" si="1">G53*$C$53</f>
        <v>7498.5749999999989</v>
      </c>
      <c r="J53" s="1597"/>
      <c r="K53" s="1597">
        <f t="shared" ref="K53" si="2">I53*$C$53</f>
        <v>7761.0251249999983</v>
      </c>
      <c r="L53" s="1597"/>
      <c r="M53" s="1597">
        <f t="shared" ref="M53" si="3">K53*$C$53</f>
        <v>8032.6610043749979</v>
      </c>
      <c r="N53" s="1597"/>
      <c r="O53" s="1597">
        <f t="shared" ref="O53" si="4">M53*$C$53</f>
        <v>8313.8041395281216</v>
      </c>
      <c r="P53" s="1597"/>
      <c r="Q53" s="1597">
        <f t="shared" ref="Q53" si="5">O53*$C$53</f>
        <v>8604.7872844116046</v>
      </c>
      <c r="R53" s="1597"/>
      <c r="S53" s="1597">
        <f t="shared" ref="S53" si="6">Q53*$C$53</f>
        <v>8905.9548393660098</v>
      </c>
      <c r="T53" s="1597"/>
      <c r="U53" s="1597">
        <f t="shared" ref="U53" si="7">S53*$C$53</f>
        <v>9217.6632587438198</v>
      </c>
      <c r="V53" s="1597"/>
      <c r="W53" s="1597">
        <f t="shared" ref="W53" si="8">U53*$C$53</f>
        <v>9540.2814727998521</v>
      </c>
      <c r="X53" s="1597"/>
      <c r="Y53" s="1597">
        <f t="shared" ref="Y53" si="9">W53*$C$53</f>
        <v>9874.1913243478466</v>
      </c>
      <c r="Z53" s="1597"/>
      <c r="AA53" s="1597">
        <f t="shared" ref="AA53" si="10">Y53*$C$53</f>
        <v>10219.78802070002</v>
      </c>
      <c r="AB53" s="1597"/>
      <c r="AC53" s="1597">
        <f t="shared" ref="AC53" si="11">AA53*$C$53</f>
        <v>10577.480601424521</v>
      </c>
      <c r="AD53" s="1597"/>
      <c r="AE53" s="1597">
        <f t="shared" ref="AE53" si="12">AC53*$C$53</f>
        <v>10947.692422474378</v>
      </c>
      <c r="AF53" s="1597"/>
      <c r="AG53" s="1597">
        <f t="shared" ref="AG53" si="13">AE53*$C$53</f>
        <v>11330.861657260981</v>
      </c>
      <c r="AH53" s="1597"/>
      <c r="AI53" s="1597"/>
    </row>
    <row r="54" spans="1:35" s="6" customFormat="1">
      <c r="A54" s="6" t="s">
        <v>923</v>
      </c>
      <c r="C54" s="1595"/>
      <c r="E54" s="1602"/>
      <c r="F54" s="1597"/>
      <c r="G54" s="1597">
        <f t="shared" ref="G54:AG56" si="14">E54*$C$52</f>
        <v>0</v>
      </c>
      <c r="H54" s="1597"/>
      <c r="I54" s="1597">
        <f t="shared" si="14"/>
        <v>0</v>
      </c>
      <c r="J54" s="1597"/>
      <c r="K54" s="1597">
        <f t="shared" si="14"/>
        <v>0</v>
      </c>
      <c r="L54" s="1597"/>
      <c r="M54" s="1597">
        <f t="shared" si="14"/>
        <v>0</v>
      </c>
      <c r="N54" s="1597"/>
      <c r="O54" s="1597">
        <f t="shared" si="14"/>
        <v>0</v>
      </c>
      <c r="P54" s="1597"/>
      <c r="Q54" s="1597">
        <f t="shared" si="14"/>
        <v>0</v>
      </c>
      <c r="R54" s="1597"/>
      <c r="S54" s="1597">
        <f t="shared" si="14"/>
        <v>0</v>
      </c>
      <c r="T54" s="1597"/>
      <c r="U54" s="1597">
        <f t="shared" si="14"/>
        <v>0</v>
      </c>
      <c r="V54" s="1597"/>
      <c r="W54" s="1597">
        <f t="shared" si="14"/>
        <v>0</v>
      </c>
      <c r="X54" s="1597"/>
      <c r="Y54" s="1597">
        <f t="shared" si="14"/>
        <v>0</v>
      </c>
      <c r="Z54" s="1597"/>
      <c r="AA54" s="1597">
        <f t="shared" si="14"/>
        <v>0</v>
      </c>
      <c r="AB54" s="1597"/>
      <c r="AC54" s="1597">
        <f t="shared" si="14"/>
        <v>0</v>
      </c>
      <c r="AD54" s="1597"/>
      <c r="AE54" s="1597">
        <f t="shared" si="14"/>
        <v>0</v>
      </c>
      <c r="AF54" s="1597"/>
      <c r="AG54" s="1597">
        <f t="shared" si="14"/>
        <v>0</v>
      </c>
      <c r="AH54" s="1597"/>
      <c r="AI54" s="1597"/>
    </row>
    <row r="55" spans="1:35" s="6" customFormat="1">
      <c r="A55" s="1603"/>
      <c r="B55" s="1603"/>
      <c r="C55" s="1595"/>
      <c r="E55" s="1602"/>
      <c r="F55" s="1597"/>
      <c r="G55" s="1597">
        <f t="shared" si="14"/>
        <v>0</v>
      </c>
      <c r="H55" s="1597"/>
      <c r="I55" s="1597">
        <f t="shared" si="14"/>
        <v>0</v>
      </c>
      <c r="J55" s="1597"/>
      <c r="K55" s="1597">
        <f t="shared" si="14"/>
        <v>0</v>
      </c>
      <c r="L55" s="1597"/>
      <c r="M55" s="1597">
        <f t="shared" si="14"/>
        <v>0</v>
      </c>
      <c r="N55" s="1597"/>
      <c r="O55" s="1597">
        <f t="shared" si="14"/>
        <v>0</v>
      </c>
      <c r="P55" s="1597"/>
      <c r="Q55" s="1597">
        <f t="shared" si="14"/>
        <v>0</v>
      </c>
      <c r="R55" s="1597"/>
      <c r="S55" s="1597">
        <f t="shared" si="14"/>
        <v>0</v>
      </c>
      <c r="T55" s="1597"/>
      <c r="U55" s="1597">
        <f t="shared" si="14"/>
        <v>0</v>
      </c>
      <c r="V55" s="1597"/>
      <c r="W55" s="1597">
        <f t="shared" si="14"/>
        <v>0</v>
      </c>
      <c r="X55" s="1597"/>
      <c r="Y55" s="1597">
        <f t="shared" si="14"/>
        <v>0</v>
      </c>
      <c r="Z55" s="1597"/>
      <c r="AA55" s="1597">
        <f t="shared" si="14"/>
        <v>0</v>
      </c>
      <c r="AB55" s="1597"/>
      <c r="AC55" s="1597">
        <f t="shared" si="14"/>
        <v>0</v>
      </c>
      <c r="AD55" s="1597"/>
      <c r="AE55" s="1597">
        <f t="shared" si="14"/>
        <v>0</v>
      </c>
      <c r="AF55" s="1597"/>
      <c r="AG55" s="1597">
        <f t="shared" si="14"/>
        <v>0</v>
      </c>
      <c r="AH55" s="1597"/>
      <c r="AI55" s="1597"/>
    </row>
    <row r="56" spans="1:35" s="6" customFormat="1">
      <c r="A56" s="1603"/>
      <c r="B56" s="1603"/>
      <c r="C56" s="1595"/>
      <c r="E56" s="1604"/>
      <c r="F56" s="1597"/>
      <c r="G56" s="1605">
        <f t="shared" si="14"/>
        <v>0</v>
      </c>
      <c r="H56" s="1597"/>
      <c r="I56" s="1605">
        <f t="shared" si="14"/>
        <v>0</v>
      </c>
      <c r="J56" s="1597"/>
      <c r="K56" s="1605">
        <f t="shared" si="14"/>
        <v>0</v>
      </c>
      <c r="L56" s="1597"/>
      <c r="M56" s="1605">
        <f t="shared" si="14"/>
        <v>0</v>
      </c>
      <c r="N56" s="1597"/>
      <c r="O56" s="1605">
        <f t="shared" si="14"/>
        <v>0</v>
      </c>
      <c r="P56" s="1597"/>
      <c r="Q56" s="1605">
        <f t="shared" si="14"/>
        <v>0</v>
      </c>
      <c r="R56" s="1597"/>
      <c r="S56" s="1605">
        <f t="shared" si="14"/>
        <v>0</v>
      </c>
      <c r="T56" s="1597"/>
      <c r="U56" s="1605">
        <f t="shared" si="14"/>
        <v>0</v>
      </c>
      <c r="V56" s="1597"/>
      <c r="W56" s="1605">
        <f t="shared" si="14"/>
        <v>0</v>
      </c>
      <c r="X56" s="1597"/>
      <c r="Y56" s="1605">
        <f t="shared" si="14"/>
        <v>0</v>
      </c>
      <c r="Z56" s="1597"/>
      <c r="AA56" s="1605">
        <f t="shared" si="14"/>
        <v>0</v>
      </c>
      <c r="AB56" s="1597"/>
      <c r="AC56" s="1605">
        <f t="shared" si="14"/>
        <v>0</v>
      </c>
      <c r="AD56" s="1597"/>
      <c r="AE56" s="1605">
        <f t="shared" si="14"/>
        <v>0</v>
      </c>
      <c r="AF56" s="1597"/>
      <c r="AG56" s="1605">
        <f t="shared" si="14"/>
        <v>0</v>
      </c>
      <c r="AH56" s="1597"/>
      <c r="AI56" s="1597"/>
    </row>
    <row r="57" spans="1:35" s="6" customFormat="1">
      <c r="A57" s="1599" t="s">
        <v>920</v>
      </c>
      <c r="C57" s="1598"/>
      <c r="E57" s="1597">
        <f>SUM(E52:E56)</f>
        <v>35671</v>
      </c>
      <c r="F57" s="1597"/>
      <c r="G57" s="1597">
        <f>SUM(G52:G56)</f>
        <v>36919.484999999993</v>
      </c>
      <c r="H57" s="1597"/>
      <c r="I57" s="1597">
        <f>SUM(I52:I56)</f>
        <v>38211.666974999993</v>
      </c>
      <c r="J57" s="1597"/>
      <c r="K57" s="1597">
        <f>SUM(K52:K56)</f>
        <v>39549.07531912499</v>
      </c>
      <c r="L57" s="1597"/>
      <c r="M57" s="1597">
        <f>SUM(M52:M56)</f>
        <v>40933.292955294361</v>
      </c>
      <c r="N57" s="1597"/>
      <c r="O57" s="1597">
        <f>SUM(O52:O56)</f>
        <v>42365.958208729659</v>
      </c>
      <c r="P57" s="1597"/>
      <c r="Q57" s="1597">
        <f>SUM(Q52:Q56)</f>
        <v>43848.766746035195</v>
      </c>
      <c r="R57" s="1597"/>
      <c r="S57" s="1597">
        <f>SUM(S52:S56)</f>
        <v>45383.47358214642</v>
      </c>
      <c r="T57" s="1597"/>
      <c r="U57" s="1597">
        <f>SUM(U52:U56)</f>
        <v>46971.895157521547</v>
      </c>
      <c r="V57" s="1597"/>
      <c r="W57" s="1597">
        <f>SUM(W52:W56)</f>
        <v>48615.911488034792</v>
      </c>
      <c r="X57" s="1597"/>
      <c r="Y57" s="1597">
        <f>SUM(Y52:Y56)</f>
        <v>50317.46839011601</v>
      </c>
      <c r="Z57" s="1597"/>
      <c r="AA57" s="1597">
        <f>SUM(AA52:AA56)</f>
        <v>52078.579783770067</v>
      </c>
      <c r="AB57" s="1597"/>
      <c r="AC57" s="1597">
        <f>SUM(AC52:AC56)</f>
        <v>53901.330076202015</v>
      </c>
      <c r="AD57" s="1597"/>
      <c r="AE57" s="1597">
        <f>SUM(AE52:AE56)</f>
        <v>55787.876628869082</v>
      </c>
      <c r="AF57" s="1597"/>
      <c r="AG57" s="1597">
        <f>SUM(AG52:AG56)</f>
        <v>57740.452310879497</v>
      </c>
      <c r="AH57" s="1597"/>
      <c r="AI57" s="1597"/>
    </row>
    <row r="58" spans="1:35" s="6" customFormat="1" ht="12.75" customHeight="1">
      <c r="A58" s="1599"/>
      <c r="C58" s="1598"/>
      <c r="E58" s="1597"/>
      <c r="F58" s="1597"/>
      <c r="G58" s="1597"/>
      <c r="H58" s="1597"/>
      <c r="I58" s="1597"/>
      <c r="J58" s="1597"/>
      <c r="K58" s="1597"/>
      <c r="L58" s="1597"/>
      <c r="M58" s="1597"/>
      <c r="N58" s="1597"/>
      <c r="O58" s="1597"/>
      <c r="P58" s="1597"/>
      <c r="Q58" s="1597"/>
      <c r="R58" s="1597"/>
      <c r="S58" s="1597"/>
      <c r="T58" s="1597"/>
      <c r="U58" s="1597"/>
      <c r="V58" s="1597"/>
      <c r="W58" s="1597"/>
      <c r="X58" s="1597"/>
      <c r="Y58" s="1597"/>
      <c r="Z58" s="1597"/>
      <c r="AA58" s="1597"/>
      <c r="AB58" s="1597"/>
      <c r="AC58" s="1597"/>
      <c r="AD58" s="1597"/>
      <c r="AE58" s="1597"/>
      <c r="AF58" s="1597"/>
      <c r="AG58" s="1597"/>
      <c r="AH58" s="1597"/>
      <c r="AI58" s="1597"/>
    </row>
    <row r="59" spans="1:35" s="1599" customFormat="1">
      <c r="A59" s="1599" t="s">
        <v>925</v>
      </c>
      <c r="C59" s="1606"/>
      <c r="E59" s="1599">
        <f>E44-E57</f>
        <v>46982.598085513688</v>
      </c>
      <c r="G59" s="1599">
        <f>G44-G57</f>
        <v>58703.039505513727</v>
      </c>
      <c r="I59" s="1599">
        <f>I44-I57</f>
        <v>70569.987675213546</v>
      </c>
      <c r="K59" s="1599">
        <f>K44-K57</f>
        <v>82581.974013353087</v>
      </c>
      <c r="M59" s="1599">
        <f>M44-M57</f>
        <v>94737.313558390015</v>
      </c>
      <c r="O59" s="1599">
        <f>O44-O57</f>
        <v>107034.09326925184</v>
      </c>
      <c r="Q59" s="1599">
        <f>Q44-Q57</f>
        <v>119470.15981343819</v>
      </c>
      <c r="S59" s="1599">
        <f>S44-S57</f>
        <v>132043.10682194543</v>
      </c>
      <c r="U59" s="1599">
        <f>U44-U57</f>
        <v>144750.26158971566</v>
      </c>
      <c r="W59" s="1599">
        <f>W44-W57</f>
        <v>157588.67119948761</v>
      </c>
      <c r="Y59" s="1599">
        <f>Y44-Y57</f>
        <v>170555.08804609114</v>
      </c>
      <c r="AA59" s="1599">
        <f>AA44-AA57</f>
        <v>183645.95473735366</v>
      </c>
      <c r="AC59" s="1599">
        <f>AC44-AC57</f>
        <v>196857.38834688105</v>
      </c>
      <c r="AE59" s="1599">
        <f>AE44-AE57</f>
        <v>210185.16399303381</v>
      </c>
      <c r="AG59" s="1599">
        <f>AG44-AG57</f>
        <v>223624.69771745428</v>
      </c>
    </row>
    <row r="60" spans="1:35" s="6" customFormat="1" ht="8.25" customHeight="1">
      <c r="C60" s="1598"/>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row>
    <row r="61" spans="1:35" s="1599" customFormat="1">
      <c r="A61" s="1599" t="s">
        <v>924</v>
      </c>
      <c r="C61" s="1596">
        <v>1</v>
      </c>
      <c r="E61" s="1601">
        <f>E59*$C$61</f>
        <v>46982.598085513688</v>
      </c>
      <c r="F61" s="1607"/>
      <c r="G61" s="1607">
        <f>MIN(G59*$C$61,Application!$AO$642-SUM('15 Year Pro Forma'!$E$61:'15 Year Pro Forma'!E61))</f>
        <v>58703.039505513727</v>
      </c>
      <c r="H61" s="1607"/>
      <c r="I61" s="1607">
        <f>MIN(I59*$C$61,Application!$AO$642-SUM('15 Year Pro Forma'!$E$61:'15 Year Pro Forma'!G61))</f>
        <v>70569.987675213546</v>
      </c>
      <c r="J61" s="1607"/>
      <c r="K61" s="1607">
        <f>MIN(K59*$C$61,Application!$AO$642-SUM('15 Year Pro Forma'!$E$61:'15 Year Pro Forma'!I61))</f>
        <v>82581.974013353087</v>
      </c>
      <c r="L61" s="1607"/>
      <c r="M61" s="1607">
        <f>MIN(M59*$C$61,Application!$AO$642-SUM('15 Year Pro Forma'!$E$61:'15 Year Pro Forma'!K61))</f>
        <v>94737.313558390015</v>
      </c>
      <c r="N61" s="1607"/>
      <c r="O61" s="1607">
        <f>MIN(O59*$C$61,Application!$AO$642-SUM('15 Year Pro Forma'!$E$61:'15 Year Pro Forma'!M61))</f>
        <v>107034.09326925184</v>
      </c>
      <c r="P61" s="1607"/>
      <c r="Q61" s="1607">
        <f>MIN(Q59*$C$61,Application!$AO$642-SUM('15 Year Pro Forma'!$E$61:'15 Year Pro Forma'!O61))</f>
        <v>119470.15981343819</v>
      </c>
      <c r="R61" s="1607"/>
      <c r="S61" s="1607">
        <f>MIN(S59*$C$61,Application!$AO$642-SUM('15 Year Pro Forma'!$E$61:'15 Year Pro Forma'!Q61))</f>
        <v>132043.10682194543</v>
      </c>
      <c r="T61" s="1607"/>
      <c r="U61" s="1607">
        <f>MIN(U59*$C$61,Application!$AO$642-SUM('15 Year Pro Forma'!$E$61:'15 Year Pro Forma'!S61))</f>
        <v>144750.26158971566</v>
      </c>
      <c r="V61" s="1607"/>
      <c r="W61" s="1607">
        <f>MIN(W59*$C$61,Application!$AO$642-SUM('15 Year Pro Forma'!$E$61:'15 Year Pro Forma'!U61))</f>
        <v>157588.67119948761</v>
      </c>
      <c r="X61" s="1607"/>
      <c r="Y61" s="1607">
        <f>MIN(Y59*$C$61,Application!$AO$642-SUM('15 Year Pro Forma'!$E$61:'15 Year Pro Forma'!W61))</f>
        <v>170555.08804609114</v>
      </c>
      <c r="Z61" s="1607"/>
      <c r="AA61" s="1607">
        <f>MIN(AA59*$C$61,Application!$AO$642-SUM('15 Year Pro Forma'!$E$61:'15 Year Pro Forma'!Y61))</f>
        <v>98193.918665376026</v>
      </c>
      <c r="AB61" s="1607"/>
      <c r="AC61" s="1607">
        <f>MIN(AC59*$C$61,Application!$AO$642-SUM('15 Year Pro Forma'!$E$61:'15 Year Pro Forma'!AA61))</f>
        <v>0</v>
      </c>
      <c r="AD61" s="1607"/>
      <c r="AE61" s="1607">
        <f>MIN(AE59*$C$61,Application!$AO$642-SUM('15 Year Pro Forma'!$E$61:'15 Year Pro Forma'!AC61))</f>
        <v>0</v>
      </c>
      <c r="AF61" s="1607"/>
      <c r="AG61" s="1607">
        <f>MIN(AG59*$C$61,Application!$AO$642-SUM('15 Year Pro Forma'!$E$61:'15 Year Pro Forma'!AE61))</f>
        <v>0</v>
      </c>
    </row>
    <row r="62" spans="1:35" s="1607" customFormat="1">
      <c r="A62" s="3253" t="s">
        <v>2581</v>
      </c>
      <c r="B62" s="3253"/>
      <c r="C62" s="3253"/>
    </row>
    <row r="63" spans="1:35" s="6" customFormat="1" ht="8.25" customHeight="1">
      <c r="C63" s="1598"/>
      <c r="E63" s="1597"/>
      <c r="F63" s="1597"/>
      <c r="G63" s="1597"/>
      <c r="H63" s="1597"/>
      <c r="I63" s="1597"/>
      <c r="J63" s="1597"/>
      <c r="K63" s="1597"/>
      <c r="L63" s="1597"/>
      <c r="M63" s="1597"/>
      <c r="N63" s="1597"/>
      <c r="O63" s="1597"/>
      <c r="P63" s="1597"/>
      <c r="Q63" s="1597"/>
      <c r="R63" s="1597"/>
      <c r="S63" s="1597"/>
      <c r="T63" s="1597"/>
      <c r="U63" s="1597"/>
      <c r="V63" s="1597"/>
      <c r="W63" s="1597"/>
      <c r="X63" s="1597"/>
      <c r="Y63" s="1597"/>
      <c r="Z63" s="1597"/>
      <c r="AA63" s="1597"/>
      <c r="AB63" s="1597"/>
      <c r="AC63" s="1597"/>
      <c r="AD63" s="1597"/>
      <c r="AE63" s="1597"/>
      <c r="AF63" s="1597"/>
      <c r="AG63" s="1597"/>
      <c r="AH63" s="1597"/>
      <c r="AI63" s="1597"/>
    </row>
    <row r="64" spans="1:35" s="6" customFormat="1">
      <c r="A64" s="6" t="s">
        <v>928</v>
      </c>
      <c r="C64" s="1596">
        <v>0</v>
      </c>
      <c r="E64" s="1597"/>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c r="AI64" s="1597"/>
    </row>
    <row r="65" spans="1:33" s="1599" customFormat="1">
      <c r="A65" s="1601" t="s">
        <v>2579</v>
      </c>
      <c r="B65" s="1601"/>
      <c r="C65" s="1596">
        <v>0.5</v>
      </c>
      <c r="E65" s="1601">
        <f>(E59-E61)*$C$65</f>
        <v>0</v>
      </c>
      <c r="G65" s="1601">
        <f t="shared" ref="G65" si="15">(G59-G61)*$C$65</f>
        <v>0</v>
      </c>
      <c r="I65" s="1601">
        <f t="shared" ref="I65" si="16">(I59-I61)*$C$65</f>
        <v>0</v>
      </c>
      <c r="K65" s="1601">
        <f t="shared" ref="K65" si="17">(K59-K61)*$C$65</f>
        <v>0</v>
      </c>
      <c r="M65" s="1601">
        <f t="shared" ref="M65" si="18">(M59-M61)*$C$65</f>
        <v>0</v>
      </c>
      <c r="O65" s="1601">
        <f t="shared" ref="O65" si="19">(O59-O61)*$C$65</f>
        <v>0</v>
      </c>
      <c r="Q65" s="1601">
        <f t="shared" ref="Q65" si="20">(Q59-Q61)*$C$65</f>
        <v>0</v>
      </c>
      <c r="S65" s="1601">
        <f t="shared" ref="S65" si="21">(S59-S61)*$C$65</f>
        <v>0</v>
      </c>
      <c r="U65" s="1601">
        <f t="shared" ref="U65" si="22">(U59-U61)*$C$65</f>
        <v>0</v>
      </c>
      <c r="W65" s="1601">
        <f t="shared" ref="W65" si="23">(W59-W61)*$C$65</f>
        <v>0</v>
      </c>
      <c r="Y65" s="1601">
        <f t="shared" ref="Y65" si="24">(Y59-Y61)*$C$65</f>
        <v>0</v>
      </c>
      <c r="AA65" s="1601">
        <f t="shared" ref="AA65" si="25">(AA59-AA61)*$C$65</f>
        <v>42726.018035988818</v>
      </c>
      <c r="AC65" s="1601">
        <f t="shared" ref="AC65" si="26">(AC59-AC61)*$C$65</f>
        <v>98428.694173440526</v>
      </c>
      <c r="AE65" s="1601">
        <f t="shared" ref="AE65" si="27">(AE59-AE61)*$C$65</f>
        <v>105092.58199651691</v>
      </c>
      <c r="AG65" s="1601">
        <f t="shared" ref="AG65" si="28">(AG59-AG61)*$C$65</f>
        <v>111812.34885872714</v>
      </c>
    </row>
    <row r="66" spans="1:33" s="1597" customFormat="1">
      <c r="A66" s="1602" t="s">
        <v>2580</v>
      </c>
      <c r="B66" s="1602"/>
      <c r="C66" s="1596">
        <v>0.5</v>
      </c>
      <c r="E66" s="1601">
        <f>(E59-E61)*$C$66</f>
        <v>0</v>
      </c>
      <c r="G66" s="1601">
        <f t="shared" ref="G66" si="29">(G59-G61)*$C$66</f>
        <v>0</v>
      </c>
      <c r="I66" s="1601">
        <f t="shared" ref="I66" si="30">(I59-I61)*$C$66</f>
        <v>0</v>
      </c>
      <c r="K66" s="1601">
        <f t="shared" ref="K66" si="31">(K59-K61)*$C$66</f>
        <v>0</v>
      </c>
      <c r="M66" s="1601">
        <f t="shared" ref="M66" si="32">(M59-M61)*$C$66</f>
        <v>0</v>
      </c>
      <c r="O66" s="1601">
        <f t="shared" ref="O66" si="33">(O59-O61)*$C$66</f>
        <v>0</v>
      </c>
      <c r="Q66" s="1601">
        <f t="shared" ref="Q66" si="34">(Q59-Q61)*$C$66</f>
        <v>0</v>
      </c>
      <c r="S66" s="1601">
        <f t="shared" ref="S66" si="35">(S59-S61)*$C$66</f>
        <v>0</v>
      </c>
      <c r="U66" s="1601">
        <f t="shared" ref="U66" si="36">(U59-U61)*$C$66</f>
        <v>0</v>
      </c>
      <c r="W66" s="1601">
        <f t="shared" ref="W66" si="37">(W59-W61)*$C$66</f>
        <v>0</v>
      </c>
      <c r="Y66" s="1601">
        <f t="shared" ref="Y66" si="38">(Y59-Y61)*$C$66</f>
        <v>0</v>
      </c>
      <c r="AA66" s="1601">
        <f t="shared" ref="AA66" si="39">(AA59-AA61)*$C$66</f>
        <v>42726.018035988818</v>
      </c>
      <c r="AC66" s="1601">
        <f t="shared" ref="AC66" si="40">(AC59-AC61)*$C$66</f>
        <v>98428.694173440526</v>
      </c>
      <c r="AE66" s="1601">
        <f t="shared" ref="AE66" si="41">(AE59-AE61)*$C$66</f>
        <v>105092.58199651691</v>
      </c>
      <c r="AG66" s="1601">
        <f t="shared" ref="AG66" si="42">(AG59-AG61)*$C$66</f>
        <v>111812.34885872714</v>
      </c>
    </row>
    <row r="67" spans="1:33" s="1597" customFormat="1">
      <c r="A67" s="1602"/>
      <c r="B67" s="1602"/>
      <c r="C67" s="1608"/>
      <c r="E67" s="1602"/>
      <c r="G67" s="1597">
        <f t="shared" ref="G67:AG68" si="43">E67*$C$65</f>
        <v>0</v>
      </c>
      <c r="I67" s="1597">
        <f t="shared" si="43"/>
        <v>0</v>
      </c>
      <c r="K67" s="1597">
        <f t="shared" si="43"/>
        <v>0</v>
      </c>
      <c r="M67" s="1597">
        <f t="shared" si="43"/>
        <v>0</v>
      </c>
      <c r="O67" s="1597">
        <f t="shared" si="43"/>
        <v>0</v>
      </c>
      <c r="Q67" s="1597">
        <f t="shared" si="43"/>
        <v>0</v>
      </c>
      <c r="S67" s="1597">
        <f t="shared" si="43"/>
        <v>0</v>
      </c>
      <c r="U67" s="1597">
        <f t="shared" si="43"/>
        <v>0</v>
      </c>
      <c r="W67" s="1597">
        <f t="shared" si="43"/>
        <v>0</v>
      </c>
      <c r="Y67" s="1597">
        <f t="shared" si="43"/>
        <v>0</v>
      </c>
      <c r="AA67" s="1597">
        <f t="shared" si="43"/>
        <v>0</v>
      </c>
      <c r="AC67" s="1597">
        <f t="shared" si="43"/>
        <v>0</v>
      </c>
      <c r="AE67" s="1597">
        <f t="shared" si="43"/>
        <v>0</v>
      </c>
      <c r="AG67" s="1597">
        <f t="shared" si="43"/>
        <v>0</v>
      </c>
    </row>
    <row r="68" spans="1:33" s="1597" customFormat="1">
      <c r="A68" s="1602"/>
      <c r="B68" s="1602"/>
      <c r="C68" s="1608"/>
      <c r="E68" s="1604"/>
      <c r="G68" s="1605">
        <f t="shared" si="43"/>
        <v>0</v>
      </c>
      <c r="I68" s="1605">
        <f t="shared" si="43"/>
        <v>0</v>
      </c>
      <c r="K68" s="1605">
        <f t="shared" si="43"/>
        <v>0</v>
      </c>
      <c r="M68" s="1605">
        <f t="shared" si="43"/>
        <v>0</v>
      </c>
      <c r="O68" s="1605">
        <f t="shared" si="43"/>
        <v>0</v>
      </c>
      <c r="Q68" s="1605">
        <f t="shared" si="43"/>
        <v>0</v>
      </c>
      <c r="S68" s="1605">
        <f t="shared" si="43"/>
        <v>0</v>
      </c>
      <c r="U68" s="1605">
        <f t="shared" si="43"/>
        <v>0</v>
      </c>
      <c r="W68" s="1605">
        <f t="shared" si="43"/>
        <v>0</v>
      </c>
      <c r="Y68" s="1605">
        <f t="shared" si="43"/>
        <v>0</v>
      </c>
      <c r="AA68" s="1605">
        <f t="shared" si="43"/>
        <v>0</v>
      </c>
      <c r="AC68" s="1605">
        <f t="shared" si="43"/>
        <v>0</v>
      </c>
      <c r="AE68" s="1605">
        <f t="shared" si="43"/>
        <v>0</v>
      </c>
      <c r="AG68" s="1605">
        <f t="shared" si="43"/>
        <v>0</v>
      </c>
    </row>
    <row r="69" spans="1:33" s="1609" customFormat="1">
      <c r="A69" s="1599" t="s">
        <v>920</v>
      </c>
      <c r="C69" s="1608"/>
      <c r="E69" s="1609">
        <f>SUM(E65:E68)</f>
        <v>0</v>
      </c>
      <c r="G69" s="1609">
        <f>SUM(G65:G68)</f>
        <v>0</v>
      </c>
      <c r="I69" s="1609">
        <f>SUM(I65:I68)</f>
        <v>0</v>
      </c>
      <c r="K69" s="1609">
        <f>SUM(K65:K68)</f>
        <v>0</v>
      </c>
      <c r="M69" s="1609">
        <f>SUM(M65:M68)</f>
        <v>0</v>
      </c>
      <c r="O69" s="1609">
        <f>SUM(O65:O68)</f>
        <v>0</v>
      </c>
      <c r="Q69" s="1609">
        <f>SUM(Q65:Q68)</f>
        <v>0</v>
      </c>
      <c r="S69" s="1609">
        <f>SUM(S65:S68)</f>
        <v>0</v>
      </c>
      <c r="U69" s="1609">
        <f>SUM(U65:U68)</f>
        <v>0</v>
      </c>
      <c r="W69" s="1609">
        <f>SUM(W65:W68)</f>
        <v>0</v>
      </c>
      <c r="Y69" s="1609">
        <f>SUM(Y65:Y68)</f>
        <v>0</v>
      </c>
      <c r="AA69" s="1609">
        <f>SUM(AA65:AA68)</f>
        <v>85452.036071977636</v>
      </c>
      <c r="AC69" s="1609">
        <f>SUM(AC65:AC68)</f>
        <v>196857.38834688105</v>
      </c>
      <c r="AE69" s="1609">
        <f>SUM(AE65:AE68)</f>
        <v>210185.16399303381</v>
      </c>
      <c r="AG69" s="1609">
        <f>SUM(AG65:AG68)</f>
        <v>223624.69771745428</v>
      </c>
    </row>
    <row r="70" spans="1:33" s="1609" customFormat="1">
      <c r="A70" s="1599"/>
      <c r="C70" s="1608"/>
    </row>
    <row r="71" spans="1:33" s="1609" customFormat="1">
      <c r="A71" s="1599" t="s">
        <v>2240</v>
      </c>
      <c r="C71" s="1608"/>
      <c r="E71" s="1599">
        <f>E59-E61-E69</f>
        <v>0</v>
      </c>
      <c r="G71" s="1599">
        <f>G59-G61-G69</f>
        <v>0</v>
      </c>
      <c r="I71" s="1599">
        <f>I59-I61-I69</f>
        <v>0</v>
      </c>
      <c r="K71" s="1599">
        <f>K59-K61-K69</f>
        <v>0</v>
      </c>
      <c r="M71" s="1599">
        <f>M59-M61-M69</f>
        <v>0</v>
      </c>
      <c r="O71" s="1599">
        <f>O59-O61-O69</f>
        <v>0</v>
      </c>
      <c r="Q71" s="1599">
        <f>Q59-Q61-Q69</f>
        <v>0</v>
      </c>
      <c r="S71" s="1599">
        <f>S59-S61-S69</f>
        <v>0</v>
      </c>
      <c r="U71" s="1599">
        <f>U59-U61-U69</f>
        <v>0</v>
      </c>
      <c r="W71" s="1599">
        <f>W59-W61-W69</f>
        <v>0</v>
      </c>
      <c r="Y71" s="1599">
        <f>Y59-Y61-Y69</f>
        <v>0</v>
      </c>
      <c r="AA71" s="1599">
        <f>AA59-AA61-AA69</f>
        <v>0</v>
      </c>
      <c r="AC71" s="1599">
        <f>AC59-AC61-AC69</f>
        <v>0</v>
      </c>
      <c r="AE71" s="1599">
        <f>AE59-AE61-AE69</f>
        <v>0</v>
      </c>
      <c r="AG71" s="1599">
        <f>AG59-AG61-AG69</f>
        <v>0</v>
      </c>
    </row>
    <row r="72" spans="1:33" s="1597" customFormat="1">
      <c r="A72" s="838"/>
      <c r="C72" s="1610"/>
    </row>
    <row r="73" spans="1:33" s="352" customFormat="1">
      <c r="A73" s="838"/>
      <c r="C73" s="353"/>
    </row>
    <row r="74" spans="1:33" s="352" customFormat="1">
      <c r="A74" s="1597" t="s">
        <v>2239</v>
      </c>
      <c r="C74" s="353"/>
    </row>
    <row r="75" spans="1:33" s="352" customFormat="1">
      <c r="C75" s="353"/>
    </row>
    <row r="76" spans="1:33" s="371" customFormat="1" ht="30" customHeight="1">
      <c r="A76" s="3251" t="s">
        <v>2238</v>
      </c>
      <c r="B76" s="3252"/>
      <c r="C76" s="3252"/>
      <c r="D76" s="3252"/>
      <c r="E76" s="3252"/>
      <c r="F76" s="3252"/>
      <c r="G76" s="3252"/>
      <c r="H76" s="3252"/>
      <c r="I76" s="3252"/>
      <c r="J76" s="3252"/>
      <c r="K76" s="3252"/>
      <c r="L76" s="3252"/>
      <c r="M76" s="3252"/>
      <c r="N76" s="3252"/>
      <c r="O76" s="3252"/>
      <c r="P76" s="3252"/>
      <c r="Q76" s="3252"/>
      <c r="R76" s="3252"/>
      <c r="S76" s="3252"/>
      <c r="T76" s="3252"/>
      <c r="U76" s="3252"/>
      <c r="V76" s="3252"/>
      <c r="W76" s="3252"/>
      <c r="X76" s="3252"/>
      <c r="Y76" s="3252"/>
      <c r="Z76" s="3252"/>
      <c r="AA76" s="3252"/>
      <c r="AB76" s="3252"/>
      <c r="AC76" s="3252"/>
      <c r="AD76" s="3252"/>
      <c r="AE76" s="3252"/>
      <c r="AF76" s="3252"/>
      <c r="AG76" s="3252"/>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H32" sqref="H32"/>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28515625" style="473" hidden="1"/>
    <col min="16384" max="16384" width="0.28515625" style="473" customWidth="1"/>
  </cols>
  <sheetData>
    <row r="1" spans="1:11">
      <c r="A1" s="3254" t="s">
        <v>983</v>
      </c>
      <c r="B1" s="3254"/>
      <c r="C1" s="3254"/>
      <c r="D1" s="3254"/>
      <c r="E1" s="3254"/>
      <c r="F1" s="3254"/>
      <c r="G1" s="3254"/>
      <c r="H1" s="3254"/>
      <c r="I1" s="3254"/>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1</v>
      </c>
      <c r="C4" s="659">
        <f>Application!O728</f>
        <v>421</v>
      </c>
      <c r="D4" s="660"/>
      <c r="E4" s="477">
        <f>'[9]main spreadsheet'!$D$26-'[9]main spreadsheet'!$N$3</f>
        <v>1471</v>
      </c>
      <c r="F4" s="661">
        <f>E4*B4</f>
        <v>1471</v>
      </c>
      <c r="G4" s="662"/>
      <c r="H4" s="659">
        <f>IF(E4=0," ",(E4-C4))</f>
        <v>1050</v>
      </c>
      <c r="I4" s="661">
        <f>IF(E4=0," ",(H4*B4))</f>
        <v>1050</v>
      </c>
      <c r="J4" s="326"/>
      <c r="K4" s="474"/>
    </row>
    <row r="5" spans="1:11">
      <c r="A5" s="659" t="str">
        <f>Application!B729</f>
        <v>1 Bedroom</v>
      </c>
      <c r="B5" s="668">
        <f>Application!G729*0+'[9]main spreadsheet'!$C$27</f>
        <v>1</v>
      </c>
      <c r="C5" s="659">
        <f>Application!O729</f>
        <v>785</v>
      </c>
      <c r="D5" s="660"/>
      <c r="E5" s="477">
        <f>E4</f>
        <v>1471</v>
      </c>
      <c r="F5" s="661">
        <f t="shared" ref="F5:F28" si="0">E5*B5</f>
        <v>1471</v>
      </c>
      <c r="G5" s="662"/>
      <c r="H5" s="659">
        <f t="shared" ref="H5:H28" si="1">IF(E5=0," ",(E5-C5))</f>
        <v>686</v>
      </c>
      <c r="I5" s="661">
        <f t="shared" ref="I5:I28" si="2">IF(E5=0," ",(H5*B5))</f>
        <v>686</v>
      </c>
      <c r="J5" s="326"/>
      <c r="K5" s="474"/>
    </row>
    <row r="6" spans="1:11">
      <c r="A6" s="659" t="str">
        <f>Application!B730</f>
        <v>1 Bedroom</v>
      </c>
      <c r="B6" s="668"/>
      <c r="C6" s="659">
        <f>Application!O730</f>
        <v>967</v>
      </c>
      <c r="D6" s="660"/>
      <c r="E6" s="477"/>
      <c r="F6" s="661">
        <f t="shared" si="0"/>
        <v>0</v>
      </c>
      <c r="G6" s="662"/>
      <c r="H6" s="659" t="str">
        <f t="shared" si="1"/>
        <v xml:space="preserve"> </v>
      </c>
      <c r="I6" s="661" t="str">
        <f t="shared" si="2"/>
        <v xml:space="preserve"> </v>
      </c>
      <c r="J6" s="326"/>
      <c r="K6" s="474"/>
    </row>
    <row r="7" spans="1:11">
      <c r="A7" s="659" t="str">
        <f>Application!B731</f>
        <v>2 Bedrooms</v>
      </c>
      <c r="B7" s="668">
        <f>Application!G731</f>
        <v>3</v>
      </c>
      <c r="C7" s="659">
        <f>Application!O731</f>
        <v>480</v>
      </c>
      <c r="D7" s="660"/>
      <c r="E7" s="477">
        <f>'[9]main spreadsheet'!$D$28-'[9]main spreadsheet'!$O$3</f>
        <v>1777</v>
      </c>
      <c r="F7" s="661">
        <f t="shared" si="0"/>
        <v>5331</v>
      </c>
      <c r="G7" s="662"/>
      <c r="H7" s="659">
        <f t="shared" si="1"/>
        <v>1297</v>
      </c>
      <c r="I7" s="661">
        <f t="shared" si="2"/>
        <v>3891</v>
      </c>
      <c r="J7" s="326"/>
      <c r="K7" s="474"/>
    </row>
    <row r="8" spans="1:11">
      <c r="A8" s="659" t="str">
        <f>Application!B732</f>
        <v>2 Bedrooms</v>
      </c>
      <c r="B8" s="668">
        <f>Application!G732*0+'[9]main spreadsheet'!$C$29</f>
        <v>2</v>
      </c>
      <c r="C8" s="659">
        <f>Application!O732</f>
        <v>917</v>
      </c>
      <c r="D8" s="660"/>
      <c r="E8" s="477">
        <f>E7</f>
        <v>1777</v>
      </c>
      <c r="F8" s="661">
        <f t="shared" si="0"/>
        <v>3554</v>
      </c>
      <c r="G8" s="662"/>
      <c r="H8" s="659">
        <f t="shared" si="1"/>
        <v>860</v>
      </c>
      <c r="I8" s="661">
        <f t="shared" si="2"/>
        <v>1720</v>
      </c>
      <c r="J8" s="326"/>
      <c r="K8" s="474"/>
    </row>
    <row r="9" spans="1:11">
      <c r="A9" s="659" t="str">
        <f>Application!B733</f>
        <v>2 Bedrooms</v>
      </c>
      <c r="B9" s="668"/>
      <c r="C9" s="659">
        <f>Application!O733</f>
        <v>1135</v>
      </c>
      <c r="D9" s="660"/>
      <c r="E9" s="477"/>
      <c r="F9" s="661">
        <f t="shared" si="0"/>
        <v>0</v>
      </c>
      <c r="G9" s="662"/>
      <c r="H9" s="659" t="str">
        <f t="shared" si="1"/>
        <v xml:space="preserve"> </v>
      </c>
      <c r="I9" s="661" t="str">
        <f t="shared" si="2"/>
        <v xml:space="preserve"> </v>
      </c>
      <c r="J9" s="326"/>
      <c r="K9" s="474"/>
    </row>
    <row r="10" spans="1:11">
      <c r="A10" s="659" t="str">
        <f>Application!B734</f>
        <v>2 Bedrooms</v>
      </c>
      <c r="B10" s="668"/>
      <c r="C10" s="659">
        <f>Application!O734</f>
        <v>1572</v>
      </c>
      <c r="D10" s="660"/>
      <c r="E10" s="477"/>
      <c r="F10" s="661">
        <f t="shared" si="0"/>
        <v>0</v>
      </c>
      <c r="G10" s="662"/>
      <c r="H10" s="659" t="str">
        <f t="shared" si="1"/>
        <v xml:space="preserve"> </v>
      </c>
      <c r="I10" s="661" t="str">
        <f t="shared" si="2"/>
        <v xml:space="preserve"> </v>
      </c>
      <c r="J10" s="326"/>
      <c r="K10" s="474"/>
    </row>
    <row r="11" spans="1:11">
      <c r="A11" s="659" t="str">
        <f>Application!B735</f>
        <v>3 Bedrooms</v>
      </c>
      <c r="B11" s="668">
        <f>Application!G735</f>
        <v>3</v>
      </c>
      <c r="C11" s="659">
        <f>Application!O735</f>
        <v>513</v>
      </c>
      <c r="D11" s="660"/>
      <c r="E11" s="477">
        <f>'[9]main spreadsheet'!$D$30-'[9]main spreadsheet'!$P$3</f>
        <v>2128</v>
      </c>
      <c r="F11" s="661">
        <f t="shared" si="0"/>
        <v>6384</v>
      </c>
      <c r="G11" s="662"/>
      <c r="H11" s="659">
        <f t="shared" si="1"/>
        <v>1615</v>
      </c>
      <c r="I11" s="661">
        <f t="shared" si="2"/>
        <v>4845</v>
      </c>
      <c r="J11" s="326"/>
      <c r="K11" s="474"/>
    </row>
    <row r="12" spans="1:11">
      <c r="A12" s="659" t="str">
        <f>Application!B736</f>
        <v>3 Bedrooms</v>
      </c>
      <c r="B12" s="668">
        <f>'[9]main spreadsheet'!$C$31</f>
        <v>5</v>
      </c>
      <c r="C12" s="659">
        <f>Application!O736</f>
        <v>1017</v>
      </c>
      <c r="D12" s="660"/>
      <c r="E12" s="477">
        <f>E11</f>
        <v>2128</v>
      </c>
      <c r="F12" s="661">
        <f t="shared" si="0"/>
        <v>10640</v>
      </c>
      <c r="G12" s="662"/>
      <c r="H12" s="659">
        <f t="shared" si="1"/>
        <v>1111</v>
      </c>
      <c r="I12" s="661">
        <f t="shared" si="2"/>
        <v>5555</v>
      </c>
      <c r="J12" s="326"/>
      <c r="K12" s="474"/>
    </row>
    <row r="13" spans="1:11">
      <c r="A13" s="659" t="str">
        <f>Application!B737</f>
        <v>3 Bedrooms</v>
      </c>
      <c r="B13" s="668"/>
      <c r="C13" s="659">
        <f>Application!O737</f>
        <v>1269</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c r="C14" s="659">
        <f>Application!O738</f>
        <v>1773</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74573</v>
      </c>
      <c r="D30" s="660"/>
      <c r="E30" s="660"/>
      <c r="F30" s="665">
        <f>SUM(F4:F28)*12</f>
        <v>346212</v>
      </c>
      <c r="G30" s="666"/>
      <c r="H30" s="664"/>
      <c r="I30" s="665">
        <f>SUM(I4:I28)*12</f>
        <v>212964</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28515625" style="326" customWidth="1"/>
    <col min="7" max="253" width="0" style="501" hidden="1" customWidth="1"/>
    <col min="254" max="16384" width="9.28515625" style="501" hidden="1"/>
  </cols>
  <sheetData>
    <row r="1" spans="1:253" s="433" customFormat="1" ht="18" customHeight="1">
      <c r="A1" s="796"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3300000</v>
      </c>
      <c r="C5" s="422">
        <f>'Sources and Uses Budget'!$C4</f>
        <v>3300000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3300000</v>
      </c>
      <c r="C9" s="426">
        <f>SUM(C5:C8)</f>
        <v>3300000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40000</v>
      </c>
      <c r="C11" s="422">
        <f>'Sources and Uses Budget'!$C10</f>
        <v>40000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40000</v>
      </c>
      <c r="C12" s="426">
        <f>SUM(C10:C11)</f>
        <v>40000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3340000</v>
      </c>
      <c r="C13" s="426">
        <f>SUM(C9+C12)</f>
        <v>3340000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115000</v>
      </c>
      <c r="C14" s="422">
        <f>'Sources and Uses Budget'!$C13</f>
        <v>115000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789" t="s">
        <v>2012</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676"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5352099</v>
      </c>
      <c r="C30" s="422">
        <f>'Sources and Uses Budget'!$C29</f>
        <v>5352099</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 ca="1">'Sources and Uses Budget'!$C30</f>
        <v>17651650.09090909</v>
      </c>
      <c r="C31" s="422">
        <f ca="1">'Sources and Uses Budget'!$C30</f>
        <v>17651650.09090909</v>
      </c>
      <c r="D31" s="426">
        <f t="shared" ca="1"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 ca="1">'Sources and Uses Budget'!$C31</f>
        <v>720708.06272727263</v>
      </c>
      <c r="C32" s="422">
        <f ca="1">'Sources and Uses Budget'!$C31</f>
        <v>720708.06272727263</v>
      </c>
      <c r="D32" s="426">
        <f t="shared" ca="1"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 ca="1">'Sources and Uses Budget'!$C32</f>
        <v>1410124.4686363637</v>
      </c>
      <c r="C33" s="422">
        <f ca="1">'Sources and Uses Budget'!$C32</f>
        <v>1410124.4686363637</v>
      </c>
      <c r="D33" s="426">
        <f t="shared" ca="1"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 ca="1">'Sources and Uses Budget'!$C33</f>
        <v>1410124.4686363637</v>
      </c>
      <c r="C34" s="422">
        <f ca="1">'Sources and Uses Budget'!$C33</f>
        <v>1410124.4686363637</v>
      </c>
      <c r="D34" s="426">
        <f t="shared" ca="1"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 ca="1">'Sources and Uses Budget'!$C34</f>
        <v>2300374.9090909092</v>
      </c>
      <c r="C35" s="422">
        <f ca="1">'Sources and Uses Budget'!$C34</f>
        <v>2300374.9090909092</v>
      </c>
      <c r="D35" s="426">
        <f t="shared" ca="1"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150000</v>
      </c>
      <c r="C36" s="422">
        <f>'Sources and Uses Budget'!$C35</f>
        <v>150000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670" t="s">
        <v>2012</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PV system</v>
      </c>
      <c r="B38" s="422">
        <f>'Sources and Uses Budget'!$C37</f>
        <v>1019853</v>
      </c>
      <c r="C38" s="422">
        <f>'Sources and Uses Budget'!$C37</f>
        <v>1019853</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 ca="1">SUM(B30:B38)</f>
        <v>30014934</v>
      </c>
      <c r="C39" s="426">
        <f ca="1">SUM(C30:C38)</f>
        <v>30014934</v>
      </c>
      <c r="D39" s="426">
        <f t="shared" ca="1"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480000</v>
      </c>
      <c r="C41" s="422">
        <f>'Sources and Uses Budget'!$C40</f>
        <v>480000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120000</v>
      </c>
      <c r="C42" s="422">
        <f>'Sources and Uses Budget'!$C41</f>
        <v>120000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600000</v>
      </c>
      <c r="C43" s="426">
        <f>SUM(C41:C42)</f>
        <v>600000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150000</v>
      </c>
      <c r="C44" s="422">
        <f>'Sources and Uses Budget'!$C43</f>
        <v>150000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1102051.6047945987</v>
      </c>
      <c r="C46" s="422">
        <f>'Sources and Uses Budget'!$C45</f>
        <v>1102051.6047945987</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227420.48032076791</v>
      </c>
      <c r="C47" s="422">
        <f>'Sources and Uses Budget'!$C46</f>
        <v>227420.48032076791</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154812.1280855381</v>
      </c>
      <c r="C50" s="422">
        <f>'Sources and Uses Budget'!$C49</f>
        <v>154812.1280855381</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50000</v>
      </c>
      <c r="C51" s="422">
        <f>'Sources and Uses Budget'!$C50</f>
        <v>50000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32000</v>
      </c>
      <c r="C52" s="422">
        <f>'Sources and Uses Budget'!$C51</f>
        <v>32000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150000</v>
      </c>
      <c r="C53" s="422">
        <f>'Sources and Uses Budget'!$C52</f>
        <v>150000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1716284.2132009047</v>
      </c>
      <c r="C55" s="429">
        <f>SUM(C46:C54)</f>
        <v>1716284.2132009047</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204921.32</v>
      </c>
      <c r="C57" s="422">
        <f>'Sources and Uses Budget'!$C56</f>
        <v>204921.32</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677" t="str">
        <f>'Sources and Uses Budget'!A61</f>
        <v>owner legal - perm loan</v>
      </c>
      <c r="B62" s="422">
        <f>'Sources and Uses Budget'!$C61</f>
        <v>10000</v>
      </c>
      <c r="C62" s="422">
        <f>'Sources and Uses Budget'!$C61</f>
        <v>10000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9" customHeight="1">
      <c r="A63" s="427" t="s">
        <v>311</v>
      </c>
      <c r="B63" s="426">
        <f>SUM(B57:B62)</f>
        <v>224921.32</v>
      </c>
      <c r="C63" s="426">
        <f>SUM(C57:C62)</f>
        <v>224921.32</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 ca="1">SUM(B9+B12+B14+B15+B17+B26+B28+B39+B43+B44+B55+B63)</f>
        <v>36161139.533200905</v>
      </c>
      <c r="C64" s="426">
        <f ca="1">SUM(C9+C12+C14+C15+C17+C26+C28+C39+C43+C44+C55+C63)</f>
        <v>36161139.533200905</v>
      </c>
      <c r="D64" s="426">
        <f t="shared" ca="1"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2016</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80000</v>
      </c>
      <c r="C66" s="422">
        <f>'Sources and Uses Budget'!$C65</f>
        <v>80000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2013</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2014</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2020</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Borrower legal</v>
      </c>
      <c r="B70" s="422">
        <f>'Sources and Uses Budget'!$C69</f>
        <v>90000</v>
      </c>
      <c r="C70" s="422">
        <f>'Sources and Uses Budget'!$C69</f>
        <v>90000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2017</v>
      </c>
      <c r="B71" s="426">
        <f>SUM(B66:B70)</f>
        <v>170000</v>
      </c>
      <c r="C71" s="426">
        <f>SUM(C66:C70)</f>
        <v>170000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545840</v>
      </c>
      <c r="C76" s="422">
        <f>'Sources and Uses Budget'!$C75</f>
        <v>545840</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545840</v>
      </c>
      <c r="C78" s="426">
        <f>SUM(C73:C77)</f>
        <v>545840</v>
      </c>
      <c r="D78" s="426">
        <f t="shared" ref="D78:D106" si="1">C78-B78</f>
        <v>0</v>
      </c>
      <c r="E78" s="424"/>
      <c r="F78" s="423"/>
      <c r="G78" s="554"/>
    </row>
    <row r="79" spans="1:253" s="548" customFormat="1">
      <c r="A79" s="420" t="s">
        <v>1428</v>
      </c>
      <c r="B79" s="420"/>
      <c r="C79" s="420"/>
      <c r="D79" s="420"/>
      <c r="E79" s="440"/>
      <c r="F79" s="420"/>
      <c r="G79" s="554"/>
    </row>
    <row r="80" spans="1:253" s="548" customFormat="1">
      <c r="A80" s="792" t="s">
        <v>1430</v>
      </c>
      <c r="B80" s="422">
        <f>'Sources and Uses Budget'!$C79</f>
        <v>1953570.71</v>
      </c>
      <c r="C80" s="422">
        <f>'Sources and Uses Budget'!$C79</f>
        <v>1953570.71</v>
      </c>
      <c r="D80" s="426">
        <f t="shared" si="1"/>
        <v>0</v>
      </c>
      <c r="E80" s="424"/>
      <c r="F80" s="423"/>
      <c r="G80" s="554"/>
    </row>
    <row r="81" spans="1:7" s="548" customFormat="1">
      <c r="A81" s="792" t="s">
        <v>61</v>
      </c>
      <c r="B81" s="422">
        <f>'Sources and Uses Budget'!$C80</f>
        <v>200000</v>
      </c>
      <c r="C81" s="422">
        <f>'Sources and Uses Budget'!$C80</f>
        <v>200000</v>
      </c>
      <c r="D81" s="426">
        <f>C81-B81</f>
        <v>0</v>
      </c>
      <c r="E81" s="424"/>
      <c r="F81" s="423"/>
      <c r="G81" s="554"/>
    </row>
    <row r="82" spans="1:7" s="548" customFormat="1">
      <c r="A82" s="427" t="s">
        <v>1427</v>
      </c>
      <c r="B82" s="426">
        <f>SUM(B80:B81)</f>
        <v>2153570.71</v>
      </c>
      <c r="C82" s="426">
        <f>SUM(C80:C81)</f>
        <v>2153570.71</v>
      </c>
      <c r="D82" s="426">
        <f t="shared" si="1"/>
        <v>0</v>
      </c>
      <c r="E82" s="424"/>
      <c r="F82" s="423"/>
      <c r="G82" s="554"/>
    </row>
    <row r="83" spans="1:7" s="548" customFormat="1">
      <c r="A83" s="420" t="s">
        <v>827</v>
      </c>
      <c r="B83" s="420"/>
      <c r="C83" s="420"/>
      <c r="D83" s="420"/>
      <c r="E83" s="440"/>
      <c r="F83" s="420"/>
      <c r="G83" s="554"/>
    </row>
    <row r="84" spans="1:7" s="548" customFormat="1" ht="13.9" customHeight="1">
      <c r="A84" s="425" t="s">
        <v>828</v>
      </c>
      <c r="B84" s="422">
        <f>'Sources and Uses Budget'!$C83</f>
        <v>49347.944111608689</v>
      </c>
      <c r="C84" s="422">
        <f>'Sources and Uses Budget'!$C83</f>
        <v>49347.944111608689</v>
      </c>
      <c r="D84" s="426">
        <f t="shared" si="1"/>
        <v>0</v>
      </c>
      <c r="E84" s="424"/>
      <c r="F84" s="423"/>
      <c r="G84" s="554"/>
    </row>
    <row r="85" spans="1:7" s="548" customFormat="1">
      <c r="A85" s="425" t="s">
        <v>829</v>
      </c>
      <c r="B85" s="422">
        <f>'Sources and Uses Budget'!$C84</f>
        <v>15000</v>
      </c>
      <c r="C85" s="422">
        <f>'Sources and Uses Budget'!$C84</f>
        <v>15000</v>
      </c>
      <c r="D85" s="426">
        <f t="shared" si="1"/>
        <v>0</v>
      </c>
      <c r="E85" s="424"/>
      <c r="F85" s="423"/>
      <c r="G85" s="554"/>
    </row>
    <row r="86" spans="1:7" s="548" customFormat="1">
      <c r="A86" s="425" t="s">
        <v>830</v>
      </c>
      <c r="B86" s="422">
        <f>'Sources and Uses Budget'!$C85</f>
        <v>1945957</v>
      </c>
      <c r="C86" s="422">
        <f>'Sources and Uses Budget'!$C85</f>
        <v>1945957</v>
      </c>
      <c r="D86" s="426">
        <f t="shared" si="1"/>
        <v>0</v>
      </c>
      <c r="E86" s="424"/>
      <c r="F86" s="423"/>
      <c r="G86" s="554"/>
    </row>
    <row r="87" spans="1:7" s="548" customFormat="1">
      <c r="A87" s="425" t="s">
        <v>831</v>
      </c>
      <c r="B87" s="422">
        <f>'Sources and Uses Budget'!$C86</f>
        <v>668779</v>
      </c>
      <c r="C87" s="422">
        <f>'Sources and Uses Budget'!$C86</f>
        <v>668779</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50000</v>
      </c>
      <c r="C89" s="422">
        <f>'Sources and Uses Budget'!$C88</f>
        <v>50000</v>
      </c>
      <c r="D89" s="426">
        <f t="shared" si="1"/>
        <v>0</v>
      </c>
      <c r="E89" s="424"/>
      <c r="F89" s="423"/>
      <c r="G89" s="554"/>
    </row>
    <row r="90" spans="1:7" s="548" customFormat="1">
      <c r="A90" s="425" t="s">
        <v>834</v>
      </c>
      <c r="B90" s="422">
        <f>'Sources and Uses Budget'!$C89</f>
        <v>40000</v>
      </c>
      <c r="C90" s="422">
        <f>'Sources and Uses Budget'!$C89</f>
        <v>40000</v>
      </c>
      <c r="D90" s="426">
        <f t="shared" si="1"/>
        <v>0</v>
      </c>
      <c r="E90" s="424"/>
      <c r="F90" s="423"/>
      <c r="G90" s="554"/>
    </row>
    <row r="91" spans="1:7" s="548" customFormat="1">
      <c r="A91" s="425" t="s">
        <v>835</v>
      </c>
      <c r="B91" s="422">
        <f>'Sources and Uses Budget'!$C90</f>
        <v>7500</v>
      </c>
      <c r="C91" s="422">
        <f>'Sources and Uses Budget'!$C90</f>
        <v>7500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791" t="s">
        <v>1429</v>
      </c>
      <c r="B93" s="422">
        <f>'Sources and Uses Budget'!$C92</f>
        <v>7500</v>
      </c>
      <c r="C93" s="422">
        <f>'Sources and Uses Budget'!$C92</f>
        <v>7500</v>
      </c>
      <c r="D93" s="426">
        <f t="shared" si="1"/>
        <v>0</v>
      </c>
      <c r="E93" s="424"/>
      <c r="F93" s="423"/>
      <c r="G93" s="554"/>
    </row>
    <row r="94" spans="1:7" s="548" customFormat="1">
      <c r="A94" s="428" t="s">
        <v>35</v>
      </c>
      <c r="B94" s="422">
        <f>'Sources and Uses Budget'!$C93</f>
        <v>50000</v>
      </c>
      <c r="C94" s="422">
        <f>'Sources and Uses Budget'!$C93</f>
        <v>50000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2834083.9441116089</v>
      </c>
      <c r="C97" s="426">
        <f>SUM(C84:C96)</f>
        <v>2834083.9441116089</v>
      </c>
      <c r="D97" s="426">
        <f t="shared" si="1"/>
        <v>0</v>
      </c>
      <c r="E97" s="424"/>
      <c r="F97" s="423"/>
      <c r="G97" s="554"/>
    </row>
    <row r="98" spans="1:7" s="548" customFormat="1">
      <c r="A98" s="427" t="s">
        <v>837</v>
      </c>
      <c r="B98" s="426">
        <f ca="1">SUM(B64+B71+B78+B82+B97)</f>
        <v>41864634.187312514</v>
      </c>
      <c r="C98" s="426">
        <f ca="1">SUM(C64+C71+C78+C82+C97)</f>
        <v>41864634.187312514</v>
      </c>
      <c r="D98" s="426">
        <f t="shared" ca="1"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3500000</v>
      </c>
      <c r="C100" s="422">
        <f>'Sources and Uses Budget'!$C99</f>
        <v>3500000</v>
      </c>
      <c r="D100" s="426">
        <f t="shared" si="1"/>
        <v>0</v>
      </c>
      <c r="E100" s="424"/>
      <c r="F100" s="423"/>
      <c r="G100" s="552"/>
    </row>
    <row r="101" spans="1:7" s="547" customFormat="1">
      <c r="A101" s="441" t="s">
        <v>2018</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2019</v>
      </c>
      <c r="B103" s="422">
        <f>'Sources and Uses Budget'!$C102</f>
        <v>0</v>
      </c>
      <c r="C103" s="422">
        <f>'Sources and Uses Budget'!$C102</f>
        <v>0</v>
      </c>
      <c r="D103" s="426">
        <f t="shared" si="1"/>
        <v>0</v>
      </c>
      <c r="E103" s="424"/>
      <c r="F103" s="423"/>
      <c r="G103" s="552"/>
    </row>
    <row r="104" spans="1:7" s="547" customFormat="1">
      <c r="A104" s="1677"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3500000</v>
      </c>
      <c r="C105" s="426">
        <f>SUM(C100:C104)</f>
        <v>3500000</v>
      </c>
      <c r="D105" s="426">
        <f t="shared" si="1"/>
        <v>0</v>
      </c>
      <c r="E105" s="424"/>
      <c r="F105" s="423"/>
      <c r="G105" s="552"/>
    </row>
    <row r="106" spans="1:7" s="547" customFormat="1">
      <c r="A106" s="427" t="s">
        <v>842</v>
      </c>
      <c r="B106" s="429">
        <f ca="1">SUM(B98+B105)</f>
        <v>45364634.187312514</v>
      </c>
      <c r="C106" s="429">
        <f ca="1">SUM(C98+C105)</f>
        <v>45364634.187312514</v>
      </c>
      <c r="D106" s="426">
        <f t="shared" ca="1"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811" t="s">
        <v>1162</v>
      </c>
      <c r="B2" s="1811"/>
      <c r="C2" s="1812"/>
      <c r="D2" s="1812"/>
      <c r="E2" s="1812"/>
      <c r="F2" s="1812"/>
      <c r="G2" s="1812"/>
    </row>
    <row r="3" spans="1:9" s="256" customFormat="1">
      <c r="A3" s="1811" t="s">
        <v>1092</v>
      </c>
      <c r="B3" s="1811"/>
      <c r="C3" s="1812"/>
      <c r="D3" s="1812"/>
      <c r="E3" s="1812"/>
      <c r="F3" s="1812"/>
      <c r="G3" s="1812"/>
      <c r="I3" s="678" t="s">
        <v>318</v>
      </c>
    </row>
    <row r="4" spans="1:9">
      <c r="I4" s="679" t="s">
        <v>1163</v>
      </c>
    </row>
    <row r="5" spans="1:9" s="39" customFormat="1">
      <c r="A5" s="1815" t="s">
        <v>1093</v>
      </c>
      <c r="B5" s="1815"/>
      <c r="C5" s="1816"/>
      <c r="D5" s="1816"/>
      <c r="E5" s="1816"/>
      <c r="F5" s="1816"/>
      <c r="G5" s="1816"/>
      <c r="I5" s="679" t="s">
        <v>1164</v>
      </c>
    </row>
    <row r="6" spans="1:9" s="39" customFormat="1">
      <c r="A6" s="1815" t="s">
        <v>884</v>
      </c>
      <c r="B6" s="1815"/>
      <c r="C6" s="1816"/>
      <c r="D6" s="1816"/>
      <c r="E6" s="1816"/>
      <c r="F6" s="1816"/>
      <c r="G6" s="1816"/>
      <c r="I6" s="678" t="s">
        <v>628</v>
      </c>
    </row>
    <row r="7" spans="1:9" ht="11.85" customHeight="1"/>
    <row r="8" spans="1:9" s="39" customFormat="1">
      <c r="A8" s="1813" t="s">
        <v>1259</v>
      </c>
      <c r="B8" s="1813"/>
      <c r="C8" s="1814"/>
      <c r="D8" s="1814"/>
      <c r="E8" s="1814"/>
      <c r="F8" s="1814"/>
      <c r="G8" s="1814"/>
    </row>
    <row r="9" spans="1:9" s="39" customFormat="1">
      <c r="A9" s="1813" t="s">
        <v>1260</v>
      </c>
      <c r="B9" s="1813"/>
      <c r="C9" s="1814"/>
      <c r="D9" s="1814"/>
      <c r="E9" s="1814"/>
      <c r="F9" s="1814"/>
      <c r="G9" s="1814"/>
    </row>
    <row r="10" spans="1:9">
      <c r="A10" s="258"/>
      <c r="B10" s="258"/>
      <c r="C10" s="255"/>
      <c r="D10" s="255"/>
      <c r="E10" s="255"/>
      <c r="F10" s="255"/>
    </row>
    <row r="11" spans="1:9">
      <c r="A11" s="1817" t="s">
        <v>1262</v>
      </c>
      <c r="B11" s="1817"/>
      <c r="C11" s="1817"/>
      <c r="D11" s="1817"/>
      <c r="E11" s="1817"/>
      <c r="F11" s="1817"/>
      <c r="G11" s="1817"/>
    </row>
    <row r="12" spans="1:9">
      <c r="A12" s="255"/>
      <c r="B12" s="674"/>
      <c r="E12" s="50"/>
    </row>
    <row r="13" spans="1:9" ht="13.15" customHeight="1">
      <c r="C13" s="255"/>
      <c r="D13" s="1835" t="s">
        <v>1261</v>
      </c>
      <c r="E13" s="1835"/>
      <c r="F13" s="1835"/>
    </row>
    <row r="14" spans="1:9">
      <c r="C14" s="255"/>
      <c r="D14" s="1835"/>
      <c r="E14" s="1835"/>
      <c r="F14" s="1835"/>
    </row>
    <row r="15" spans="1:9">
      <c r="A15" s="260"/>
      <c r="B15" s="260"/>
      <c r="C15" s="260"/>
      <c r="D15" s="1774" t="s">
        <v>1244</v>
      </c>
      <c r="E15" s="1774"/>
      <c r="F15" s="1774"/>
    </row>
    <row r="16" spans="1:9">
      <c r="A16" s="260"/>
      <c r="B16" s="260"/>
      <c r="C16" s="260"/>
      <c r="D16" s="328"/>
    </row>
    <row r="17" spans="1:7" ht="14.25">
      <c r="A17" s="261"/>
      <c r="B17" s="680" t="s">
        <v>318</v>
      </c>
      <c r="C17" s="314"/>
      <c r="D17" s="1761" t="s">
        <v>1245</v>
      </c>
      <c r="E17" s="1761"/>
      <c r="F17" s="1761"/>
    </row>
    <row r="18" spans="1:7">
      <c r="A18" s="260"/>
      <c r="B18" s="260"/>
      <c r="C18" s="314"/>
      <c r="D18" s="1761"/>
      <c r="E18" s="1761"/>
      <c r="F18" s="1761"/>
    </row>
    <row r="19" spans="1:7">
      <c r="A19" s="260"/>
      <c r="B19" s="260"/>
      <c r="C19" s="314"/>
      <c r="D19" s="1761"/>
      <c r="E19" s="1761"/>
      <c r="F19" s="1761"/>
    </row>
    <row r="20" spans="1:7">
      <c r="A20" s="260"/>
      <c r="B20" s="260"/>
      <c r="C20" s="260"/>
    </row>
    <row r="21" spans="1:7" ht="14.25">
      <c r="A21" s="261"/>
      <c r="B21" s="680" t="s">
        <v>318</v>
      </c>
      <c r="D21" s="1827" t="s">
        <v>1246</v>
      </c>
      <c r="E21" s="1827"/>
      <c r="F21" s="1827"/>
    </row>
    <row r="22" spans="1:7" ht="14.25">
      <c r="A22" s="261"/>
      <c r="B22" s="261"/>
      <c r="D22" s="135"/>
    </row>
    <row r="23" spans="1:7" ht="14.25">
      <c r="A23" s="261"/>
      <c r="B23" s="680" t="s">
        <v>318</v>
      </c>
      <c r="D23" s="1761" t="s">
        <v>1247</v>
      </c>
      <c r="E23" s="1761"/>
      <c r="F23" s="1761"/>
    </row>
    <row r="24" spans="1:7" ht="14.25">
      <c r="A24" s="261"/>
      <c r="B24" s="261"/>
      <c r="D24" s="1761"/>
      <c r="E24" s="1761"/>
      <c r="F24" s="1761"/>
    </row>
    <row r="25" spans="1:7"/>
    <row r="26" spans="1:7" ht="14.25">
      <c r="A26" s="261"/>
      <c r="B26" s="680" t="s">
        <v>318</v>
      </c>
      <c r="D26" s="1796" t="s">
        <v>1248</v>
      </c>
      <c r="E26" s="1796"/>
      <c r="F26" s="1796"/>
    </row>
    <row r="27" spans="1:7">
      <c r="D27" s="1796"/>
      <c r="E27" s="1796"/>
      <c r="F27" s="1796"/>
    </row>
    <row r="28" spans="1:7">
      <c r="D28" s="1796"/>
      <c r="E28" s="1796"/>
      <c r="F28" s="1796"/>
    </row>
    <row r="29" spans="1:7">
      <c r="A29" s="559"/>
      <c r="C29" s="559"/>
      <c r="D29" s="1796"/>
      <c r="E29" s="1796"/>
      <c r="F29" s="1796"/>
    </row>
    <row r="30" spans="1:7">
      <c r="A30" s="559"/>
      <c r="C30" s="559"/>
      <c r="D30" s="1796"/>
      <c r="E30" s="1796"/>
      <c r="F30" s="1796"/>
    </row>
    <row r="31" spans="1:7" s="39" customFormat="1">
      <c r="A31" s="273"/>
      <c r="B31" s="273"/>
      <c r="C31" s="273"/>
      <c r="D31" s="444"/>
      <c r="E31" s="130"/>
      <c r="F31" s="130"/>
      <c r="G31" s="130"/>
    </row>
    <row r="32" spans="1:7" s="39" customFormat="1">
      <c r="A32" s="273"/>
      <c r="B32" s="680" t="s">
        <v>318</v>
      </c>
      <c r="C32" s="273"/>
      <c r="D32" s="1762" t="s">
        <v>1249</v>
      </c>
      <c r="E32" s="1762"/>
      <c r="F32" s="1762"/>
      <c r="G32" s="130"/>
    </row>
    <row r="33" spans="1:7" s="39" customFormat="1">
      <c r="A33" s="273"/>
      <c r="B33" s="273"/>
      <c r="C33" s="273"/>
      <c r="D33" s="1762"/>
      <c r="E33" s="1762"/>
      <c r="F33" s="1762"/>
      <c r="G33" s="130"/>
    </row>
    <row r="34" spans="1:7" ht="14.25">
      <c r="A34" s="261"/>
      <c r="B34" s="261"/>
      <c r="D34" s="405"/>
    </row>
    <row r="35" spans="1:7" ht="14.65" customHeight="1">
      <c r="A35" s="261"/>
      <c r="B35" s="680" t="s">
        <v>318</v>
      </c>
      <c r="C35" s="555"/>
      <c r="D35" s="1762" t="s">
        <v>1250</v>
      </c>
      <c r="E35" s="1762"/>
      <c r="F35" s="1762"/>
    </row>
    <row r="36" spans="1:7" ht="14.25">
      <c r="A36" s="261"/>
      <c r="B36" s="261"/>
      <c r="C36" s="555"/>
      <c r="D36" s="1762"/>
      <c r="E36" s="1762"/>
      <c r="F36" s="1762"/>
    </row>
    <row r="37" spans="1:7" ht="14.25">
      <c r="A37" s="261"/>
      <c r="B37" s="261"/>
      <c r="C37" s="555"/>
      <c r="D37" s="1762"/>
      <c r="E37" s="1762"/>
      <c r="F37" s="1762"/>
    </row>
    <row r="38" spans="1:7" ht="14.25">
      <c r="A38" s="261"/>
      <c r="B38" s="261"/>
      <c r="C38" s="555"/>
      <c r="D38" s="12"/>
    </row>
    <row r="39" spans="1:7" s="683" customFormat="1" ht="14.25">
      <c r="A39" s="261"/>
      <c r="B39" s="680" t="s">
        <v>318</v>
      </c>
      <c r="C39" s="700"/>
      <c r="D39" s="1762" t="s">
        <v>1251</v>
      </c>
      <c r="E39" s="1762"/>
      <c r="F39" s="1762"/>
      <c r="G39" s="7"/>
    </row>
    <row r="40" spans="1:7" s="683" customFormat="1" ht="14.25">
      <c r="A40" s="261"/>
      <c r="B40" s="261"/>
      <c r="C40" s="700"/>
      <c r="D40" s="1762"/>
      <c r="E40" s="1762"/>
      <c r="F40" s="1762"/>
      <c r="G40" s="7"/>
    </row>
    <row r="41" spans="1:7" s="683" customFormat="1" ht="14.25">
      <c r="A41" s="261"/>
      <c r="B41" s="261"/>
      <c r="C41" s="700"/>
      <c r="D41" s="1762"/>
      <c r="E41" s="1762"/>
      <c r="F41" s="1762"/>
      <c r="G41" s="7"/>
    </row>
    <row r="42" spans="1:7" s="683" customFormat="1" ht="14.25">
      <c r="A42" s="261"/>
      <c r="B42" s="261"/>
      <c r="C42" s="700"/>
      <c r="D42" s="1762"/>
      <c r="E42" s="1762"/>
      <c r="F42" s="1762"/>
      <c r="G42" s="7"/>
    </row>
    <row r="43" spans="1:7" s="683" customFormat="1" ht="14.25">
      <c r="A43" s="261"/>
      <c r="B43" s="261"/>
      <c r="C43" s="700"/>
      <c r="D43" s="1762"/>
      <c r="E43" s="1762"/>
      <c r="F43" s="1762"/>
      <c r="G43" s="7"/>
    </row>
    <row r="44" spans="1:7" s="683" customFormat="1" ht="14.25">
      <c r="A44" s="261"/>
      <c r="B44" s="261"/>
      <c r="C44" s="700"/>
      <c r="D44" s="699"/>
      <c r="E44" s="699"/>
      <c r="F44" s="699"/>
      <c r="G44" s="7"/>
    </row>
    <row r="45" spans="1:7" ht="14.25">
      <c r="A45" s="261"/>
      <c r="B45" s="680" t="s">
        <v>318</v>
      </c>
      <c r="C45" s="555"/>
      <c r="D45" s="1762" t="s">
        <v>1252</v>
      </c>
      <c r="E45" s="1762"/>
      <c r="F45" s="1762"/>
    </row>
    <row r="46" spans="1:7" ht="14.25">
      <c r="A46" s="261"/>
      <c r="B46" s="261"/>
      <c r="C46" s="555"/>
      <c r="D46" s="1762"/>
      <c r="E46" s="1762"/>
      <c r="F46" s="1762"/>
    </row>
    <row r="47" spans="1:7" ht="14.25">
      <c r="A47" s="261"/>
      <c r="B47" s="261"/>
      <c r="C47" s="555"/>
      <c r="D47" s="1762"/>
      <c r="E47" s="1762"/>
      <c r="F47" s="1762"/>
    </row>
    <row r="48" spans="1:7" ht="23.25" customHeight="1">
      <c r="A48" s="261"/>
      <c r="B48" s="261"/>
      <c r="C48" s="555"/>
      <c r="D48" s="1762"/>
      <c r="E48" s="1762"/>
      <c r="F48" s="1762"/>
    </row>
    <row r="49" spans="1:7" ht="14.25">
      <c r="A49" s="261"/>
      <c r="B49" s="261"/>
      <c r="D49" s="151"/>
    </row>
    <row r="50" spans="1:7" ht="14.65" customHeight="1">
      <c r="A50" s="261"/>
      <c r="B50" s="680" t="s">
        <v>318</v>
      </c>
      <c r="D50" s="1762" t="s">
        <v>1253</v>
      </c>
      <c r="E50" s="1762"/>
      <c r="F50" s="1762"/>
    </row>
    <row r="51" spans="1:7" ht="14.25">
      <c r="A51" s="261"/>
      <c r="B51" s="261"/>
      <c r="D51" s="1762"/>
      <c r="E51" s="1762"/>
      <c r="F51" s="1762"/>
    </row>
    <row r="52" spans="1:7" ht="14.25">
      <c r="A52" s="261"/>
      <c r="B52" s="261"/>
      <c r="D52" s="1762"/>
      <c r="E52" s="1762"/>
      <c r="F52" s="1762"/>
    </row>
    <row r="53" spans="1:7" s="2" customFormat="1" ht="14.25">
      <c r="A53" s="261"/>
      <c r="B53" s="261"/>
      <c r="C53" s="557"/>
      <c r="D53" s="239"/>
      <c r="E53" s="22"/>
      <c r="F53" s="22"/>
      <c r="G53" s="22"/>
    </row>
    <row r="54" spans="1:7" s="2" customFormat="1" ht="14.25">
      <c r="A54" s="404"/>
      <c r="B54" s="680" t="s">
        <v>318</v>
      </c>
      <c r="C54" s="558"/>
      <c r="D54" s="1762" t="s">
        <v>1254</v>
      </c>
      <c r="E54" s="1762"/>
      <c r="F54" s="1762"/>
      <c r="G54" s="22"/>
    </row>
    <row r="55" spans="1:7" s="2" customFormat="1" ht="14.25">
      <c r="A55" s="404"/>
      <c r="B55" s="404"/>
      <c r="C55" s="558"/>
      <c r="D55" s="1762"/>
      <c r="E55" s="1762"/>
      <c r="F55" s="1762"/>
      <c r="G55" s="22"/>
    </row>
    <row r="56" spans="1:7" s="39" customFormat="1">
      <c r="A56" s="273"/>
      <c r="B56" s="273"/>
      <c r="C56" s="273"/>
      <c r="D56" s="444"/>
      <c r="E56" s="130"/>
      <c r="F56" s="130"/>
      <c r="G56" s="130"/>
    </row>
    <row r="57" spans="1:7" ht="14.25">
      <c r="A57" s="261"/>
      <c r="B57" s="680" t="s">
        <v>318</v>
      </c>
      <c r="D57" s="1762" t="s">
        <v>1255</v>
      </c>
      <c r="E57" s="1762"/>
      <c r="F57" s="1762"/>
    </row>
    <row r="58" spans="1:7">
      <c r="D58" s="1762"/>
      <c r="E58" s="1762"/>
      <c r="F58" s="1762"/>
    </row>
    <row r="59" spans="1:7">
      <c r="D59" s="1762"/>
      <c r="E59" s="1762"/>
      <c r="F59" s="1762"/>
    </row>
    <row r="60" spans="1:7" s="683" customFormat="1">
      <c r="A60" s="700"/>
      <c r="B60" s="700"/>
      <c r="C60" s="700"/>
      <c r="D60" s="679"/>
      <c r="E60" s="7"/>
      <c r="F60" s="7"/>
      <c r="G60" s="7"/>
    </row>
    <row r="61" spans="1:7" ht="14.25">
      <c r="A61" s="261"/>
      <c r="B61" s="680" t="s">
        <v>318</v>
      </c>
      <c r="D61" s="1762" t="s">
        <v>1256</v>
      </c>
      <c r="E61" s="1762"/>
      <c r="F61" s="1762"/>
    </row>
    <row r="62" spans="1:7">
      <c r="D62" s="1762"/>
      <c r="E62" s="1762"/>
      <c r="F62" s="1762"/>
    </row>
    <row r="63" spans="1:7"/>
    <row r="64" spans="1:7" ht="14.25">
      <c r="A64" s="261"/>
      <c r="B64" s="680" t="s">
        <v>318</v>
      </c>
      <c r="D64" s="1762" t="s">
        <v>1257</v>
      </c>
      <c r="E64" s="1762"/>
      <c r="F64" s="1762"/>
    </row>
    <row r="65" spans="1:7">
      <c r="D65" s="1762"/>
      <c r="E65" s="1762"/>
      <c r="F65" s="1762"/>
    </row>
    <row r="66" spans="1:7">
      <c r="A66" s="556"/>
      <c r="C66" s="556"/>
      <c r="D66" s="1762"/>
      <c r="E66" s="1762"/>
      <c r="F66" s="1762"/>
    </row>
    <row r="67" spans="1:7">
      <c r="D67" s="12"/>
    </row>
    <row r="68" spans="1:7" ht="14.25">
      <c r="A68" s="261"/>
      <c r="B68" s="680" t="s">
        <v>318</v>
      </c>
      <c r="D68" s="1761" t="s">
        <v>1258</v>
      </c>
      <c r="E68" s="1761"/>
      <c r="F68" s="1761"/>
    </row>
    <row r="69" spans="1:7">
      <c r="D69" s="1761"/>
      <c r="E69" s="1761"/>
      <c r="F69" s="1761"/>
    </row>
    <row r="70" spans="1:7" ht="14.25">
      <c r="A70" s="261"/>
      <c r="B70" s="261"/>
      <c r="D70" s="135"/>
    </row>
    <row r="71" spans="1:7">
      <c r="A71" s="1781" t="s">
        <v>1165</v>
      </c>
      <c r="B71" s="1781"/>
      <c r="C71" s="1781"/>
      <c r="D71" s="1781"/>
      <c r="E71" s="1781"/>
      <c r="F71" s="1781"/>
      <c r="G71" s="1781"/>
    </row>
    <row r="72" spans="1:7"/>
    <row r="73" spans="1:7">
      <c r="C73" s="262"/>
      <c r="D73" s="1810" t="s">
        <v>1263</v>
      </c>
      <c r="E73" s="1810"/>
      <c r="F73" s="1810"/>
    </row>
    <row r="74" spans="1:7">
      <c r="A74" s="135"/>
      <c r="B74" s="135"/>
      <c r="D74" s="1761" t="s">
        <v>1290</v>
      </c>
      <c r="E74" s="1761"/>
      <c r="F74" s="1761"/>
    </row>
    <row r="75" spans="1:7">
      <c r="A75" s="135"/>
      <c r="B75" s="135"/>
    </row>
    <row r="76" spans="1:7" ht="14.25">
      <c r="A76" s="261"/>
      <c r="B76" s="680" t="s">
        <v>318</v>
      </c>
      <c r="D76" s="1761" t="s">
        <v>1264</v>
      </c>
      <c r="E76" s="1761"/>
      <c r="F76" s="1761"/>
    </row>
    <row r="77" spans="1:7" ht="14.25">
      <c r="A77" s="261"/>
      <c r="B77" s="261"/>
      <c r="D77" s="1761"/>
      <c r="E77" s="1761"/>
      <c r="F77" s="1761"/>
    </row>
    <row r="78" spans="1:7" ht="14.25">
      <c r="A78" s="261"/>
      <c r="B78" s="261"/>
      <c r="D78" s="1761"/>
      <c r="E78" s="1761"/>
      <c r="F78" s="1761"/>
    </row>
    <row r="79" spans="1:7" ht="14.25">
      <c r="A79" s="261"/>
      <c r="B79" s="261"/>
      <c r="D79" s="1761"/>
      <c r="E79" s="1761"/>
      <c r="F79" s="1761"/>
    </row>
    <row r="80" spans="1:7" ht="14.25">
      <c r="A80" s="261"/>
      <c r="B80" s="261"/>
      <c r="D80" s="1761"/>
      <c r="E80" s="1761"/>
      <c r="F80" s="1761"/>
    </row>
    <row r="81" spans="1:7" ht="14.25">
      <c r="A81" s="261"/>
      <c r="B81" s="261"/>
      <c r="D81" s="1761"/>
      <c r="E81" s="1761"/>
      <c r="F81" s="1761"/>
    </row>
    <row r="82" spans="1:7" s="707" customFormat="1" ht="14.25">
      <c r="A82" s="708"/>
      <c r="B82" s="708"/>
      <c r="C82" s="706"/>
      <c r="D82" s="710"/>
      <c r="E82" s="710"/>
      <c r="F82" s="710"/>
      <c r="G82" s="7"/>
    </row>
    <row r="83" spans="1:7" s="707" customFormat="1" ht="14.65" customHeight="1">
      <c r="A83" s="708"/>
      <c r="B83" s="713" t="s">
        <v>318</v>
      </c>
      <c r="C83" s="706"/>
      <c r="D83" s="1790" t="s">
        <v>1363</v>
      </c>
      <c r="E83" s="1790"/>
      <c r="F83" s="1790"/>
      <c r="G83" s="7"/>
    </row>
    <row r="84" spans="1:7" s="707" customFormat="1" ht="14.25">
      <c r="A84" s="708"/>
      <c r="B84" s="708"/>
      <c r="C84" s="706"/>
      <c r="D84" s="1790"/>
      <c r="E84" s="1790"/>
      <c r="F84" s="1790"/>
      <c r="G84" s="7"/>
    </row>
    <row r="85" spans="1:7" s="707" customFormat="1" ht="14.25">
      <c r="A85" s="708"/>
      <c r="B85" s="708"/>
      <c r="C85" s="706"/>
      <c r="D85" s="1790"/>
      <c r="E85" s="1790"/>
      <c r="F85" s="1790"/>
      <c r="G85" s="7"/>
    </row>
    <row r="86" spans="1:7" s="707" customFormat="1" ht="14.25">
      <c r="A86" s="708"/>
      <c r="B86" s="708"/>
      <c r="C86" s="706"/>
      <c r="D86" s="1790"/>
      <c r="E86" s="1790"/>
      <c r="F86" s="1790"/>
      <c r="G86" s="7"/>
    </row>
    <row r="87" spans="1:7" s="707" customFormat="1" ht="14.25">
      <c r="A87" s="708"/>
      <c r="B87" s="708"/>
      <c r="C87" s="706"/>
      <c r="D87" s="1790"/>
      <c r="E87" s="1790"/>
      <c r="F87" s="1790"/>
      <c r="G87" s="7"/>
    </row>
    <row r="88" spans="1:7" s="720" customFormat="1" ht="14.25">
      <c r="A88" s="715"/>
      <c r="B88" s="715"/>
      <c r="C88" s="746"/>
      <c r="D88" s="1790"/>
      <c r="E88" s="1790"/>
      <c r="F88" s="1790"/>
      <c r="G88" s="7"/>
    </row>
    <row r="89" spans="1:7" s="720" customFormat="1" ht="14.25">
      <c r="A89" s="715"/>
      <c r="B89" s="715"/>
      <c r="C89" s="746"/>
      <c r="D89" s="1790"/>
      <c r="E89" s="1790"/>
      <c r="F89" s="1790"/>
      <c r="G89" s="7"/>
    </row>
    <row r="90" spans="1:7" s="720" customFormat="1" ht="14.25">
      <c r="A90" s="715"/>
      <c r="B90" s="715"/>
      <c r="C90" s="746"/>
      <c r="D90" s="1790"/>
      <c r="E90" s="1790"/>
      <c r="F90" s="1790"/>
      <c r="G90" s="7"/>
    </row>
    <row r="91" spans="1:7" ht="14.25">
      <c r="A91" s="261"/>
      <c r="B91" s="261"/>
      <c r="D91" s="1790"/>
      <c r="E91" s="1790"/>
      <c r="F91" s="1790"/>
    </row>
    <row r="92" spans="1:7" ht="14.25">
      <c r="A92" s="261"/>
      <c r="B92" s="261"/>
      <c r="D92" s="1790"/>
      <c r="E92" s="1790"/>
      <c r="F92" s="1790"/>
    </row>
    <row r="93" spans="1:7" ht="14.25">
      <c r="A93" s="261"/>
      <c r="B93" s="261"/>
      <c r="D93" s="1790"/>
      <c r="E93" s="1790"/>
      <c r="F93" s="1790"/>
    </row>
    <row r="94" spans="1:7" ht="14.25">
      <c r="A94" s="261"/>
      <c r="B94" s="261"/>
      <c r="D94" s="1790"/>
      <c r="E94" s="1790"/>
      <c r="F94" s="1790"/>
    </row>
    <row r="95" spans="1:7" ht="14.25">
      <c r="A95" s="261"/>
      <c r="B95" s="261"/>
      <c r="D95" s="1790"/>
      <c r="E95" s="1790"/>
      <c r="F95" s="1790"/>
    </row>
    <row r="96" spans="1:7" ht="14.25">
      <c r="A96" s="261"/>
      <c r="B96" s="261"/>
      <c r="D96" s="1790"/>
      <c r="E96" s="1790"/>
      <c r="F96" s="1790"/>
    </row>
    <row r="97" spans="1:11" s="711" customFormat="1" ht="14.25">
      <c r="A97" s="712"/>
      <c r="B97" s="716" t="s">
        <v>318</v>
      </c>
      <c r="C97" s="706"/>
      <c r="D97" s="1761" t="s">
        <v>1265</v>
      </c>
      <c r="E97" s="1761"/>
      <c r="F97" s="1761"/>
      <c r="G97" s="7"/>
    </row>
    <row r="98" spans="1:11" s="711" customFormat="1" ht="14.25">
      <c r="A98" s="712"/>
      <c r="B98" s="712"/>
      <c r="C98" s="706"/>
      <c r="D98" s="1761"/>
      <c r="E98" s="1761"/>
      <c r="F98" s="1761"/>
      <c r="G98" s="7"/>
    </row>
    <row r="99" spans="1:11" s="711" customFormat="1" ht="14.25">
      <c r="A99" s="712"/>
      <c r="B99" s="712"/>
      <c r="C99" s="706"/>
      <c r="D99" s="1761"/>
      <c r="E99" s="1761"/>
      <c r="F99" s="1761"/>
      <c r="G99" s="7"/>
    </row>
    <row r="100" spans="1:11" s="711" customFormat="1" ht="14.25">
      <c r="A100" s="712"/>
      <c r="B100" s="712"/>
      <c r="C100" s="706"/>
      <c r="D100" s="1761"/>
      <c r="E100" s="1761"/>
      <c r="F100" s="1761"/>
      <c r="G100" s="7"/>
    </row>
    <row r="101" spans="1:11" s="711" customFormat="1" ht="14.25">
      <c r="A101" s="712"/>
      <c r="B101" s="712"/>
      <c r="C101" s="706"/>
      <c r="D101" s="1761"/>
      <c r="E101" s="1761"/>
      <c r="F101" s="1761"/>
      <c r="G101" s="7"/>
    </row>
    <row r="102" spans="1:11" s="711" customFormat="1" ht="14.25">
      <c r="A102" s="712"/>
      <c r="B102" s="712"/>
      <c r="C102" s="706"/>
      <c r="D102" s="1761"/>
      <c r="E102" s="1761"/>
      <c r="F102" s="1761"/>
      <c r="G102" s="7"/>
    </row>
    <row r="103" spans="1:11" s="711" customFormat="1" ht="14.25">
      <c r="A103" s="712"/>
      <c r="B103" s="712"/>
      <c r="C103" s="706"/>
      <c r="D103" s="1761"/>
      <c r="E103" s="1761"/>
      <c r="F103" s="1761"/>
      <c r="G103" s="7"/>
    </row>
    <row r="104" spans="1:11" s="711" customFormat="1" ht="14.25">
      <c r="A104" s="712"/>
      <c r="B104" s="712"/>
      <c r="C104" s="706"/>
      <c r="D104" s="1761"/>
      <c r="E104" s="1761"/>
      <c r="F104" s="1761"/>
      <c r="G104" s="7"/>
    </row>
    <row r="105" spans="1:11" s="714" customFormat="1" ht="14.25">
      <c r="A105" s="715"/>
      <c r="B105" s="715"/>
      <c r="C105" s="706"/>
      <c r="D105" s="717"/>
      <c r="E105" s="717"/>
      <c r="F105" s="717"/>
      <c r="G105" s="7"/>
    </row>
    <row r="106" spans="1:11" ht="14.25">
      <c r="A106" s="404"/>
      <c r="B106" s="709" t="s">
        <v>318</v>
      </c>
      <c r="C106" s="470"/>
      <c r="D106" s="1818" t="s">
        <v>1266</v>
      </c>
      <c r="E106" s="1818"/>
      <c r="F106" s="1818"/>
      <c r="G106" s="471"/>
      <c r="H106" s="469"/>
      <c r="I106" s="469"/>
      <c r="J106" s="469"/>
      <c r="K106" s="469"/>
    </row>
    <row r="107" spans="1:11" ht="14.25">
      <c r="A107" s="261"/>
      <c r="B107" s="261"/>
      <c r="C107" s="316"/>
      <c r="D107" s="1818"/>
      <c r="E107" s="1818"/>
      <c r="F107" s="1818"/>
      <c r="G107" s="471"/>
      <c r="H107" s="469"/>
      <c r="I107" s="469"/>
      <c r="J107" s="469"/>
      <c r="K107" s="469"/>
    </row>
    <row r="108" spans="1:11" ht="14.25">
      <c r="A108" s="261"/>
      <c r="B108" s="261"/>
      <c r="C108" s="316"/>
      <c r="D108" s="1818"/>
      <c r="E108" s="1818"/>
      <c r="F108" s="1818"/>
      <c r="G108" s="471"/>
      <c r="H108" s="469"/>
      <c r="I108" s="469"/>
      <c r="J108" s="469"/>
      <c r="K108" s="469"/>
    </row>
    <row r="109" spans="1:11" ht="14.25">
      <c r="A109" s="261"/>
      <c r="B109" s="261"/>
      <c r="C109" s="316"/>
      <c r="D109" s="1818"/>
      <c r="E109" s="1818"/>
      <c r="F109" s="1818"/>
      <c r="G109" s="471"/>
      <c r="H109" s="469"/>
      <c r="I109" s="469"/>
      <c r="J109" s="469"/>
      <c r="K109" s="469"/>
    </row>
    <row r="110" spans="1:11" ht="14.25">
      <c r="A110" s="261"/>
      <c r="B110" s="261"/>
      <c r="C110" s="316"/>
      <c r="D110" s="1818"/>
      <c r="E110" s="1818"/>
      <c r="F110" s="1818"/>
      <c r="G110" s="471"/>
      <c r="H110" s="469"/>
      <c r="I110" s="469"/>
      <c r="J110" s="469"/>
      <c r="K110" s="469"/>
    </row>
    <row r="111" spans="1:11">
      <c r="C111"/>
      <c r="D111" s="1818"/>
      <c r="E111" s="1818"/>
      <c r="F111" s="1818"/>
      <c r="G111"/>
      <c r="H111"/>
      <c r="I111"/>
      <c r="J111"/>
      <c r="K111"/>
    </row>
    <row r="112" spans="1:11">
      <c r="C112"/>
      <c r="D112" s="1818"/>
      <c r="E112" s="1818"/>
      <c r="F112" s="1818"/>
      <c r="G112"/>
      <c r="H112"/>
      <c r="I112"/>
      <c r="J112"/>
      <c r="K112"/>
    </row>
    <row r="113" spans="1:11">
      <c r="C113"/>
      <c r="D113" s="478"/>
      <c r="E113"/>
      <c r="F113"/>
      <c r="G113"/>
      <c r="H113"/>
      <c r="I113"/>
      <c r="J113"/>
      <c r="K113"/>
    </row>
    <row r="114" spans="1:11" ht="14.25">
      <c r="A114" s="261"/>
      <c r="B114" s="680" t="s">
        <v>318</v>
      </c>
      <c r="C114"/>
      <c r="D114" s="1819" t="s">
        <v>1267</v>
      </c>
      <c r="E114" s="1819"/>
      <c r="F114" s="1819"/>
      <c r="G114"/>
      <c r="H114"/>
      <c r="I114"/>
      <c r="J114"/>
      <c r="K114"/>
    </row>
    <row r="115" spans="1:11" ht="14.25">
      <c r="A115" s="261"/>
      <c r="B115" s="261"/>
      <c r="C115"/>
      <c r="D115" s="1819"/>
      <c r="E115" s="1819"/>
      <c r="F115" s="1819"/>
      <c r="G115"/>
      <c r="H115"/>
      <c r="I115"/>
      <c r="J115"/>
      <c r="K115"/>
    </row>
    <row r="116" spans="1:11"/>
    <row r="117" spans="1:11" ht="14.25">
      <c r="A117" s="261"/>
      <c r="B117" s="680" t="s">
        <v>318</v>
      </c>
      <c r="C117" s="10"/>
      <c r="D117" s="1761" t="s">
        <v>1268</v>
      </c>
      <c r="E117" s="1761"/>
      <c r="F117" s="1761"/>
    </row>
    <row r="118" spans="1:11">
      <c r="C118" s="10"/>
      <c r="D118" s="1761"/>
      <c r="E118" s="1761"/>
      <c r="F118" s="1761"/>
    </row>
    <row r="119" spans="1:11">
      <c r="C119" s="10"/>
      <c r="D119" s="1761"/>
      <c r="E119" s="1761"/>
      <c r="F119" s="1761"/>
    </row>
    <row r="120" spans="1:11">
      <c r="C120" s="10"/>
      <c r="D120" s="1761"/>
      <c r="E120" s="1761"/>
      <c r="F120" s="1761"/>
    </row>
    <row r="121" spans="1:11">
      <c r="C121" s="10"/>
      <c r="D121" s="1761"/>
      <c r="E121" s="1761"/>
      <c r="F121" s="1761"/>
    </row>
    <row r="122" spans="1:11">
      <c r="C122" s="10"/>
      <c r="D122" s="149"/>
      <c r="E122" s="149"/>
      <c r="F122" s="149"/>
    </row>
    <row r="123" spans="1:11" customFormat="1" ht="14.25">
      <c r="A123" s="261"/>
      <c r="B123" s="680" t="s">
        <v>318</v>
      </c>
      <c r="C123" s="10"/>
      <c r="D123" s="1762" t="s">
        <v>1269</v>
      </c>
      <c r="E123" s="1762"/>
      <c r="F123" s="1762"/>
      <c r="G123" s="149"/>
    </row>
    <row r="124" spans="1:11" s="297" customFormat="1" ht="13.9" customHeight="1">
      <c r="A124" s="294"/>
      <c r="B124" s="294"/>
      <c r="C124" s="295"/>
      <c r="D124" s="1762"/>
      <c r="E124" s="1762"/>
      <c r="F124" s="1762"/>
      <c r="G124" s="296"/>
    </row>
    <row r="125" spans="1:11" customFormat="1" ht="13.9" customHeight="1">
      <c r="A125" s="132"/>
      <c r="B125" s="677"/>
      <c r="C125" s="10"/>
      <c r="D125" s="1762"/>
      <c r="E125" s="1762"/>
      <c r="F125" s="1762"/>
      <c r="G125" s="149"/>
    </row>
    <row r="126" spans="1:11" customFormat="1" ht="13.9" customHeight="1">
      <c r="A126" s="132"/>
      <c r="B126" s="677"/>
      <c r="C126" s="10"/>
      <c r="D126" s="1762"/>
      <c r="E126" s="1762"/>
      <c r="F126" s="1762"/>
      <c r="G126" s="149"/>
    </row>
    <row r="127" spans="1:11" customFormat="1" ht="13.9" customHeight="1">
      <c r="A127" s="132"/>
      <c r="B127" s="677"/>
      <c r="C127" s="10"/>
      <c r="D127" s="1762"/>
      <c r="E127" s="1762"/>
      <c r="F127" s="1762"/>
      <c r="G127" s="149"/>
    </row>
    <row r="128" spans="1:11" customFormat="1" ht="13.9" customHeight="1">
      <c r="A128" s="379"/>
      <c r="B128" s="379"/>
      <c r="C128" s="10"/>
      <c r="D128" s="1762"/>
      <c r="E128" s="1762"/>
      <c r="F128" s="1762"/>
      <c r="G128" s="149"/>
    </row>
    <row r="129" spans="1:7" s="2" customFormat="1" ht="13.9" customHeight="1">
      <c r="A129" s="273"/>
      <c r="B129" s="273"/>
      <c r="C129" s="443"/>
      <c r="D129" s="1762"/>
      <c r="E129" s="1762"/>
      <c r="F129" s="1762"/>
      <c r="G129" s="182"/>
    </row>
    <row r="130" spans="1:7" s="2" customFormat="1" ht="13.9" customHeight="1">
      <c r="A130" s="273"/>
      <c r="B130" s="273"/>
      <c r="C130" s="443"/>
      <c r="D130" s="1762"/>
      <c r="E130" s="1762"/>
      <c r="F130" s="1762"/>
      <c r="G130" s="182"/>
    </row>
    <row r="131" spans="1:7" customFormat="1" ht="13.9" customHeight="1">
      <c r="A131" s="132"/>
      <c r="B131" s="677"/>
      <c r="C131" s="10"/>
      <c r="D131" s="1762"/>
      <c r="E131" s="1762"/>
      <c r="F131" s="1762"/>
      <c r="G131" s="149"/>
    </row>
    <row r="132" spans="1:7" customFormat="1" ht="13.9" customHeight="1">
      <c r="A132" s="132"/>
      <c r="B132" s="677"/>
      <c r="C132" s="10"/>
      <c r="D132" s="1762"/>
      <c r="E132" s="1762"/>
      <c r="F132" s="1762"/>
      <c r="G132" s="149"/>
    </row>
    <row r="133" spans="1:7" customFormat="1" ht="13.9" customHeight="1">
      <c r="A133" s="132"/>
      <c r="B133" s="677"/>
      <c r="C133" s="10"/>
      <c r="D133" s="1762"/>
      <c r="E133" s="1762"/>
      <c r="F133" s="1762"/>
      <c r="G133" s="149"/>
    </row>
    <row r="134" spans="1:7" customFormat="1" ht="13.9" customHeight="1">
      <c r="A134" s="132"/>
      <c r="B134" s="677"/>
      <c r="C134" s="10"/>
      <c r="D134" s="1762"/>
      <c r="E134" s="1762"/>
      <c r="F134" s="1762"/>
      <c r="G134" s="149"/>
    </row>
    <row r="135" spans="1:7" customFormat="1" ht="13.9" customHeight="1">
      <c r="A135" s="132"/>
      <c r="B135" s="677"/>
      <c r="C135" s="10"/>
      <c r="D135" s="328"/>
      <c r="E135" s="151"/>
      <c r="F135" s="151"/>
      <c r="G135" s="149"/>
    </row>
    <row r="136" spans="1:7" s="718" customFormat="1" ht="13.9" customHeight="1">
      <c r="A136" s="706"/>
      <c r="B136" s="719" t="s">
        <v>318</v>
      </c>
      <c r="C136" s="10"/>
      <c r="D136" s="1761" t="s">
        <v>1377</v>
      </c>
      <c r="E136" s="1761"/>
      <c r="F136" s="1761"/>
      <c r="G136" s="149"/>
    </row>
    <row r="137" spans="1:7" s="718" customFormat="1" ht="13.9" customHeight="1">
      <c r="A137" s="706"/>
      <c r="B137" s="706"/>
      <c r="C137" s="10"/>
      <c r="D137" s="1761"/>
      <c r="E137" s="1761"/>
      <c r="F137" s="1761"/>
      <c r="G137" s="149"/>
    </row>
    <row r="138" spans="1:7" s="718" customFormat="1" ht="13.9" customHeight="1">
      <c r="A138" s="706"/>
      <c r="B138" s="706"/>
      <c r="C138" s="10"/>
      <c r="D138" s="1761"/>
      <c r="E138" s="1761"/>
      <c r="F138" s="1761"/>
      <c r="G138" s="149"/>
    </row>
    <row r="139" spans="1:7" s="718" customFormat="1" ht="13.9" customHeight="1">
      <c r="A139" s="706"/>
      <c r="B139" s="706"/>
      <c r="C139" s="10"/>
      <c r="D139" s="1761"/>
      <c r="E139" s="1761"/>
      <c r="F139" s="1761"/>
      <c r="G139" s="149"/>
    </row>
    <row r="140" spans="1:7" s="718" customFormat="1" ht="13.9" customHeight="1">
      <c r="A140" s="706"/>
      <c r="B140" s="706"/>
      <c r="C140" s="10"/>
      <c r="D140" s="1761"/>
      <c r="E140" s="1761"/>
      <c r="F140" s="1761"/>
      <c r="G140" s="149"/>
    </row>
    <row r="141" spans="1:7" s="718" customFormat="1" ht="13.9" customHeight="1">
      <c r="A141" s="706"/>
      <c r="B141" s="706"/>
      <c r="C141" s="10"/>
      <c r="D141" s="1761"/>
      <c r="E141" s="1761"/>
      <c r="F141" s="1761"/>
      <c r="G141" s="149"/>
    </row>
    <row r="142" spans="1:7" s="718" customFormat="1" ht="13.9" customHeight="1">
      <c r="A142" s="706"/>
      <c r="B142" s="706"/>
      <c r="C142" s="10"/>
      <c r="D142" s="1761"/>
      <c r="E142" s="1761"/>
      <c r="F142" s="1761"/>
      <c r="G142" s="149"/>
    </row>
    <row r="143" spans="1:7" s="718" customFormat="1" ht="13.9" customHeight="1">
      <c r="A143" s="706"/>
      <c r="B143" s="706"/>
      <c r="C143" s="10"/>
      <c r="D143" s="1761"/>
      <c r="E143" s="1761"/>
      <c r="F143" s="1761"/>
      <c r="G143" s="149"/>
    </row>
    <row r="144" spans="1:7" s="718" customFormat="1" ht="13.9" customHeight="1">
      <c r="A144" s="706"/>
      <c r="B144" s="706"/>
      <c r="C144" s="10"/>
      <c r="D144" s="1761"/>
      <c r="E144" s="1761"/>
      <c r="F144" s="1761"/>
      <c r="G144" s="149"/>
    </row>
    <row r="145" spans="1:7" s="718" customFormat="1" ht="13.9" customHeight="1">
      <c r="A145" s="706"/>
      <c r="B145" s="706"/>
      <c r="C145" s="10"/>
      <c r="D145" s="1761"/>
      <c r="E145" s="1761"/>
      <c r="F145" s="1761"/>
      <c r="G145" s="149"/>
    </row>
    <row r="146" spans="1:7" s="718" customFormat="1" ht="13.9" customHeight="1">
      <c r="A146" s="748"/>
      <c r="B146" s="748"/>
      <c r="C146" s="10"/>
      <c r="D146" s="1761"/>
      <c r="E146" s="1761"/>
      <c r="F146" s="1761"/>
      <c r="G146" s="149"/>
    </row>
    <row r="147" spans="1:7" s="718" customFormat="1" ht="13.9" customHeight="1">
      <c r="A147" s="748"/>
      <c r="B147" s="748"/>
      <c r="C147" s="10"/>
      <c r="D147" s="1761"/>
      <c r="E147" s="1761"/>
      <c r="F147" s="1761"/>
      <c r="G147" s="149"/>
    </row>
    <row r="148" spans="1:7" s="718" customFormat="1" ht="13.9" customHeight="1">
      <c r="A148" s="706"/>
      <c r="B148" s="706"/>
      <c r="C148" s="10"/>
      <c r="D148" s="1761"/>
      <c r="E148" s="1761"/>
      <c r="F148" s="1761"/>
      <c r="G148" s="149"/>
    </row>
    <row r="149" spans="1:7" s="718" customFormat="1" ht="13.9" customHeight="1">
      <c r="A149" s="706"/>
      <c r="B149" s="706"/>
      <c r="C149" s="10"/>
      <c r="D149" s="1761"/>
      <c r="E149" s="1761"/>
      <c r="F149" s="1761"/>
      <c r="G149" s="149"/>
    </row>
    <row r="150" spans="1:7" s="718" customFormat="1" ht="13.9" customHeight="1">
      <c r="A150" s="706"/>
      <c r="B150" s="706"/>
      <c r="C150" s="10"/>
      <c r="D150" s="1761"/>
      <c r="E150" s="1761"/>
      <c r="F150" s="1761"/>
      <c r="G150" s="149"/>
    </row>
    <row r="151" spans="1:7" s="718" customFormat="1" ht="13.9" customHeight="1">
      <c r="A151" s="706"/>
      <c r="B151" s="706"/>
      <c r="C151" s="10"/>
      <c r="D151" s="1761"/>
      <c r="E151" s="1761"/>
      <c r="F151" s="1761"/>
      <c r="G151" s="149"/>
    </row>
    <row r="152" spans="1:7" s="718" customFormat="1" ht="13.9" customHeight="1">
      <c r="A152" s="706"/>
      <c r="B152" s="706"/>
      <c r="C152" s="10"/>
      <c r="D152" s="1761"/>
      <c r="E152" s="1761"/>
      <c r="F152" s="1761"/>
      <c r="G152" s="149"/>
    </row>
    <row r="153" spans="1:7" s="718" customFormat="1" ht="13.9" customHeight="1">
      <c r="A153" s="706"/>
      <c r="B153" s="706"/>
      <c r="C153" s="10"/>
      <c r="D153" s="1761"/>
      <c r="E153" s="1761"/>
      <c r="F153" s="1761"/>
      <c r="G153" s="149"/>
    </row>
    <row r="154" spans="1:7" s="718" customFormat="1" ht="13.9" customHeight="1">
      <c r="A154" s="706"/>
      <c r="B154" s="706"/>
      <c r="C154" s="10"/>
      <c r="D154" s="1761"/>
      <c r="E154" s="1761"/>
      <c r="F154" s="1761"/>
      <c r="G154" s="149"/>
    </row>
    <row r="155" spans="1:7" s="718" customFormat="1" ht="13.9" customHeight="1">
      <c r="A155" s="706"/>
      <c r="B155" s="706"/>
      <c r="C155" s="10"/>
      <c r="D155" s="328"/>
      <c r="E155" s="151"/>
      <c r="F155" s="151"/>
      <c r="G155" s="149"/>
    </row>
    <row r="156" spans="1:7" customFormat="1" ht="13.9" customHeight="1">
      <c r="A156" s="379"/>
      <c r="B156" s="680" t="s">
        <v>318</v>
      </c>
      <c r="C156" s="326"/>
      <c r="D156" s="1773" t="s">
        <v>1270</v>
      </c>
      <c r="E156" s="1773"/>
      <c r="F156" s="1773"/>
      <c r="G156" s="445"/>
    </row>
    <row r="157" spans="1:7" customFormat="1" ht="13.9" customHeight="1">
      <c r="A157" s="379"/>
      <c r="B157" s="379"/>
      <c r="C157" s="326"/>
      <c r="D157" s="1773"/>
      <c r="E157" s="1773"/>
      <c r="F157" s="1773"/>
      <c r="G157" s="445"/>
    </row>
    <row r="158" spans="1:7" customFormat="1" ht="13.9" customHeight="1">
      <c r="A158" s="379"/>
      <c r="B158" s="379"/>
      <c r="C158" s="326"/>
      <c r="D158" s="328"/>
      <c r="E158" s="326"/>
      <c r="F158" s="326"/>
      <c r="G158" s="445"/>
    </row>
    <row r="159" spans="1:7" customFormat="1" ht="13.9" customHeight="1">
      <c r="A159" s="379"/>
      <c r="B159" s="680" t="s">
        <v>318</v>
      </c>
      <c r="C159" s="326"/>
      <c r="D159" s="1769" t="s">
        <v>1271</v>
      </c>
      <c r="E159" s="1769"/>
      <c r="F159" s="1769"/>
      <c r="G159" s="445"/>
    </row>
    <row r="160" spans="1:7" customFormat="1" ht="13.9" customHeight="1">
      <c r="A160" s="379"/>
      <c r="B160" s="379"/>
      <c r="C160" s="326"/>
      <c r="D160" s="1769"/>
      <c r="E160" s="1769"/>
      <c r="F160" s="1769"/>
      <c r="G160" s="445"/>
    </row>
    <row r="161" spans="1:7" customFormat="1" ht="13.9" customHeight="1">
      <c r="A161" s="379"/>
      <c r="B161" s="379"/>
      <c r="C161" s="326"/>
      <c r="D161" s="1769"/>
      <c r="E161" s="1769"/>
      <c r="F161" s="1769"/>
      <c r="G161" s="445"/>
    </row>
    <row r="162" spans="1:7" customFormat="1" ht="13.9" customHeight="1">
      <c r="A162" s="379"/>
      <c r="B162" s="379"/>
      <c r="C162" s="326"/>
      <c r="D162" s="1769"/>
      <c r="E162" s="1769"/>
      <c r="F162" s="1769"/>
      <c r="G162" s="445"/>
    </row>
    <row r="163" spans="1:7" customFormat="1" ht="13.9" customHeight="1">
      <c r="A163" s="132"/>
      <c r="B163" s="677"/>
      <c r="C163" s="10"/>
      <c r="D163" s="151"/>
      <c r="E163" s="151"/>
      <c r="F163" s="151"/>
      <c r="G163" s="149"/>
    </row>
    <row r="164" spans="1:7" customFormat="1" ht="13.9" customHeight="1">
      <c r="A164" s="132"/>
      <c r="B164" s="680" t="s">
        <v>318</v>
      </c>
      <c r="C164" s="10"/>
      <c r="D164" s="1804" t="s">
        <v>1272</v>
      </c>
      <c r="E164" s="1804"/>
      <c r="F164" s="1804"/>
      <c r="G164" s="149"/>
    </row>
    <row r="165" spans="1:7" customFormat="1" ht="13.9" customHeight="1">
      <c r="A165" s="132"/>
      <c r="B165" s="677"/>
      <c r="C165" s="10"/>
      <c r="D165" s="1804"/>
      <c r="E165" s="1804"/>
      <c r="F165" s="1804"/>
      <c r="G165" s="149"/>
    </row>
    <row r="166" spans="1:7" customFormat="1" ht="13.9" customHeight="1">
      <c r="A166" s="132"/>
      <c r="B166" s="677"/>
      <c r="C166" s="10"/>
      <c r="D166" s="1804"/>
      <c r="E166" s="1804"/>
      <c r="F166" s="1804"/>
      <c r="G166" s="149"/>
    </row>
    <row r="167" spans="1:7" customFormat="1" ht="13.9" customHeight="1">
      <c r="A167" s="23"/>
      <c r="B167" s="676"/>
      <c r="C167" s="10"/>
      <c r="D167" s="7"/>
      <c r="E167" s="151"/>
      <c r="F167" s="151"/>
      <c r="G167" s="149"/>
    </row>
    <row r="168" spans="1:7">
      <c r="A168" s="1781" t="s">
        <v>1166</v>
      </c>
      <c r="B168" s="1781"/>
      <c r="C168" s="1781"/>
      <c r="D168" s="1781"/>
      <c r="E168" s="1781"/>
      <c r="F168" s="1781"/>
      <c r="G168" s="1781"/>
    </row>
    <row r="169" spans="1:7" ht="12" customHeight="1">
      <c r="D169" s="135"/>
      <c r="E169" s="135"/>
      <c r="F169" s="135"/>
    </row>
    <row r="170" spans="1:7">
      <c r="B170" s="1809" t="s">
        <v>472</v>
      </c>
      <c r="C170" s="1809"/>
      <c r="D170" s="1809"/>
      <c r="E170" s="1809"/>
      <c r="F170" s="1809"/>
    </row>
    <row r="171" spans="1:7" ht="12" customHeight="1">
      <c r="A171" s="255"/>
      <c r="B171" s="674"/>
      <c r="C171" s="255"/>
    </row>
    <row r="172" spans="1:7">
      <c r="A172" s="1781" t="s">
        <v>1167</v>
      </c>
      <c r="B172" s="1781"/>
      <c r="C172" s="1781"/>
      <c r="D172" s="1781"/>
      <c r="E172" s="1781"/>
      <c r="F172" s="1781"/>
      <c r="G172" s="1781"/>
    </row>
    <row r="173" spans="1:7" ht="12" customHeight="1">
      <c r="A173" s="264"/>
      <c r="B173" s="264"/>
      <c r="C173" s="265"/>
      <c r="D173" s="57"/>
      <c r="E173" s="49"/>
      <c r="F173" s="57"/>
      <c r="G173" s="57"/>
    </row>
    <row r="174" spans="1:7" ht="13.15" customHeight="1">
      <c r="A174" s="264"/>
      <c r="B174" s="264"/>
      <c r="C174" s="265"/>
      <c r="D174" s="1805" t="s">
        <v>1275</v>
      </c>
      <c r="E174" s="1805"/>
      <c r="F174" s="1805"/>
      <c r="G174" s="57"/>
    </row>
    <row r="175" spans="1:7">
      <c r="A175" s="264"/>
      <c r="B175" s="264"/>
      <c r="C175" s="265"/>
      <c r="D175" s="1805"/>
      <c r="E175" s="1805"/>
      <c r="F175" s="1805"/>
      <c r="G175" s="57"/>
    </row>
    <row r="176" spans="1:7" s="720" customFormat="1">
      <c r="A176" s="722"/>
      <c r="B176" s="722"/>
      <c r="C176" s="265"/>
      <c r="D176" s="1806" t="s">
        <v>1276</v>
      </c>
      <c r="E176" s="1806"/>
      <c r="F176" s="1806"/>
      <c r="G176" s="57"/>
    </row>
    <row r="177" spans="1:7" ht="12" customHeight="1">
      <c r="A177" s="264"/>
      <c r="B177" s="264"/>
      <c r="C177" s="265"/>
      <c r="D177" s="57"/>
      <c r="E177" s="49"/>
      <c r="F177" s="57"/>
      <c r="G177" s="57"/>
    </row>
    <row r="178" spans="1:7" ht="14.25">
      <c r="A178" s="261"/>
      <c r="B178" s="680" t="s">
        <v>318</v>
      </c>
      <c r="C178" s="265"/>
      <c r="D178" s="1799" t="s">
        <v>1274</v>
      </c>
      <c r="E178" s="1799"/>
      <c r="F178" s="1799"/>
      <c r="G178" s="57"/>
    </row>
    <row r="179" spans="1:7" ht="14.25">
      <c r="A179" s="261"/>
      <c r="B179" s="261"/>
      <c r="C179" s="265"/>
      <c r="D179" s="1799"/>
      <c r="E179" s="1799"/>
      <c r="F179" s="1799"/>
      <c r="G179" s="57"/>
    </row>
    <row r="180" spans="1:7" ht="14.25">
      <c r="A180" s="261"/>
      <c r="B180" s="261"/>
      <c r="C180" s="265"/>
      <c r="D180" s="1799"/>
      <c r="E180" s="1799"/>
      <c r="F180" s="1799"/>
      <c r="G180" s="57"/>
    </row>
    <row r="181" spans="1:7">
      <c r="A181" s="265"/>
      <c r="B181" s="265"/>
      <c r="C181" s="265"/>
      <c r="D181" s="1799"/>
      <c r="E181" s="1799"/>
      <c r="F181" s="1799"/>
    </row>
    <row r="182" spans="1:7">
      <c r="A182" s="265"/>
      <c r="B182" s="265"/>
      <c r="C182" s="265"/>
      <c r="D182" s="405"/>
      <c r="E182" s="57"/>
      <c r="F182" s="57"/>
    </row>
    <row r="183" spans="1:7">
      <c r="A183" s="265"/>
      <c r="B183" s="265"/>
      <c r="C183" s="265"/>
      <c r="D183" s="1808" t="s">
        <v>1183</v>
      </c>
      <c r="E183" s="1808"/>
      <c r="F183" s="1808"/>
    </row>
    <row r="184" spans="1:7">
      <c r="A184" s="265"/>
      <c r="B184" s="265"/>
      <c r="C184" s="265"/>
      <c r="D184" s="1808"/>
      <c r="E184" s="1808"/>
      <c r="F184" s="1808"/>
    </row>
    <row r="185" spans="1:7" s="683" customFormat="1">
      <c r="A185" s="265"/>
      <c r="B185" s="265"/>
      <c r="C185" s="265"/>
      <c r="D185" s="697"/>
      <c r="E185" s="697"/>
      <c r="F185" s="697"/>
      <c r="G185" s="7"/>
    </row>
    <row r="186" spans="1:7" s="678" customFormat="1" ht="14.25">
      <c r="A186" s="261"/>
      <c r="B186" s="680" t="s">
        <v>318</v>
      </c>
      <c r="C186" s="558"/>
      <c r="D186" s="1761" t="s">
        <v>1273</v>
      </c>
      <c r="E186" s="1761"/>
      <c r="F186" s="1761"/>
      <c r="G186" s="679"/>
    </row>
    <row r="187" spans="1:7" s="678" customFormat="1" ht="14.65" customHeight="1">
      <c r="A187" s="261"/>
      <c r="C187" s="558"/>
      <c r="D187" s="1761"/>
      <c r="E187" s="1761"/>
      <c r="F187" s="1761"/>
      <c r="G187" s="679"/>
    </row>
    <row r="188" spans="1:7" s="678" customFormat="1" ht="14.25">
      <c r="A188" s="261"/>
      <c r="B188" s="698"/>
      <c r="C188" s="558"/>
      <c r="D188" s="1761"/>
      <c r="E188" s="1761"/>
      <c r="F188" s="1761"/>
      <c r="G188" s="679"/>
    </row>
    <row r="189" spans="1:7" s="678" customFormat="1" ht="14.25">
      <c r="A189" s="261"/>
      <c r="B189" s="698"/>
      <c r="C189" s="558"/>
      <c r="D189" s="1761"/>
      <c r="E189" s="1761"/>
      <c r="F189" s="1761"/>
      <c r="G189" s="679"/>
    </row>
    <row r="190" spans="1:7" s="683" customFormat="1">
      <c r="A190" s="265"/>
      <c r="B190" s="265"/>
      <c r="C190" s="265"/>
      <c r="D190" s="697"/>
      <c r="E190" s="697"/>
      <c r="F190" s="697"/>
      <c r="G190" s="7"/>
    </row>
    <row r="191" spans="1:7">
      <c r="A191" s="1781" t="s">
        <v>1168</v>
      </c>
      <c r="B191" s="1781"/>
      <c r="C191" s="1781"/>
      <c r="D191" s="1781"/>
      <c r="E191" s="1781"/>
      <c r="F191" s="1781"/>
      <c r="G191" s="1781"/>
    </row>
    <row r="192" spans="1:7" ht="12" customHeight="1">
      <c r="D192" s="135"/>
      <c r="E192" s="135"/>
      <c r="F192" s="135"/>
    </row>
    <row r="193" spans="1:6">
      <c r="C193" s="262"/>
      <c r="D193" s="1807" t="s">
        <v>214</v>
      </c>
      <c r="E193" s="1807"/>
      <c r="F193" s="1807"/>
    </row>
    <row r="194" spans="1:6">
      <c r="A194" s="255"/>
      <c r="B194" s="674"/>
      <c r="C194" s="255"/>
      <c r="D194" s="1776" t="s">
        <v>1297</v>
      </c>
      <c r="E194" s="1786"/>
      <c r="F194" s="1786"/>
    </row>
    <row r="195" spans="1:6" ht="12" customHeight="1">
      <c r="A195" s="23"/>
      <c r="B195" s="676"/>
      <c r="C195" s="23"/>
    </row>
    <row r="196" spans="1:6" ht="13.15" customHeight="1">
      <c r="A196" s="23"/>
      <c r="C196" s="23"/>
      <c r="D196" s="1784" t="s">
        <v>581</v>
      </c>
      <c r="E196" s="1784"/>
      <c r="F196" s="1784"/>
    </row>
    <row r="197" spans="1:6" ht="14.25">
      <c r="A197" s="261"/>
      <c r="B197" s="680" t="s">
        <v>318</v>
      </c>
      <c r="D197" s="1761" t="s">
        <v>1291</v>
      </c>
      <c r="E197" s="1761"/>
      <c r="F197" s="1761"/>
    </row>
    <row r="198" spans="1:6" ht="14.25">
      <c r="A198" s="261"/>
      <c r="B198" s="261"/>
      <c r="D198" s="1761"/>
      <c r="E198" s="1761"/>
      <c r="F198" s="1761"/>
    </row>
    <row r="199" spans="1:6"/>
    <row r="200" spans="1:6" ht="14.25">
      <c r="A200" s="261"/>
      <c r="B200" s="680" t="s">
        <v>318</v>
      </c>
      <c r="D200" s="1761" t="s">
        <v>1292</v>
      </c>
      <c r="E200" s="1761"/>
      <c r="F200" s="1761"/>
    </row>
    <row r="201" spans="1:6" ht="14.25">
      <c r="A201" s="261"/>
      <c r="B201" s="261"/>
      <c r="D201" s="1761"/>
      <c r="E201" s="1761"/>
      <c r="F201" s="1761"/>
    </row>
    <row r="202" spans="1:6" ht="14.25">
      <c r="A202" s="261"/>
      <c r="B202" s="261"/>
      <c r="D202" s="1761"/>
      <c r="E202" s="1761"/>
      <c r="F202" s="1761"/>
    </row>
    <row r="203" spans="1:6" ht="5.0999999999999996" customHeight="1">
      <c r="A203" s="261"/>
      <c r="B203" s="261"/>
      <c r="D203" s="151"/>
      <c r="E203" s="135"/>
      <c r="F203" s="135"/>
    </row>
    <row r="204" spans="1:6" ht="14.25">
      <c r="A204" s="261"/>
      <c r="B204" s="261"/>
      <c r="D204" s="1761" t="s">
        <v>1293</v>
      </c>
      <c r="E204" s="1761"/>
      <c r="F204" s="1761"/>
    </row>
    <row r="205" spans="1:6" ht="14.25">
      <c r="A205" s="261"/>
      <c r="B205" s="261"/>
      <c r="D205" s="1761"/>
      <c r="E205" s="1761"/>
      <c r="F205" s="1761"/>
    </row>
    <row r="206" spans="1:6" ht="14.25">
      <c r="A206" s="261"/>
      <c r="B206" s="261"/>
      <c r="D206" s="1761"/>
      <c r="E206" s="1761"/>
      <c r="F206" s="1761"/>
    </row>
    <row r="207" spans="1:6" ht="14.25">
      <c r="A207" s="261"/>
      <c r="B207" s="261"/>
      <c r="D207" s="1761"/>
      <c r="E207" s="1761"/>
      <c r="F207" s="1761"/>
    </row>
    <row r="208" spans="1:6" ht="14.25">
      <c r="A208" s="261"/>
      <c r="B208" s="261"/>
      <c r="D208" s="1761"/>
      <c r="E208" s="1761"/>
      <c r="F208" s="1761"/>
    </row>
    <row r="209" spans="1:7" ht="14.25">
      <c r="A209" s="261"/>
      <c r="B209" s="261"/>
      <c r="D209" s="135"/>
      <c r="E209" s="135"/>
      <c r="F209" s="135"/>
    </row>
    <row r="210" spans="1:7" ht="14.25">
      <c r="A210" s="261"/>
      <c r="B210" s="680" t="s">
        <v>318</v>
      </c>
      <c r="D210" s="1775" t="s">
        <v>1294</v>
      </c>
      <c r="E210" s="1775"/>
      <c r="F210" s="1775"/>
    </row>
    <row r="211" spans="1:7" ht="14.25">
      <c r="A211" s="261"/>
      <c r="B211" s="261"/>
      <c r="D211" s="1775"/>
      <c r="E211" s="1775"/>
      <c r="F211" s="1775"/>
    </row>
    <row r="212" spans="1:7" ht="14.25">
      <c r="A212" s="261"/>
      <c r="B212" s="261"/>
      <c r="D212" s="1809" t="s">
        <v>967</v>
      </c>
      <c r="E212" s="1809"/>
      <c r="F212" s="1809"/>
    </row>
    <row r="213" spans="1:7" ht="14.25">
      <c r="A213" s="261"/>
      <c r="B213" s="261"/>
      <c r="D213" s="135"/>
      <c r="E213" s="135"/>
      <c r="F213" s="135"/>
    </row>
    <row r="214" spans="1:7" ht="14.65" customHeight="1">
      <c r="A214" s="261"/>
      <c r="B214" s="680" t="s">
        <v>318</v>
      </c>
      <c r="D214" s="1775" t="s">
        <v>1296</v>
      </c>
      <c r="E214" s="1775"/>
      <c r="F214" s="1775"/>
    </row>
    <row r="215" spans="1:7" ht="14.25">
      <c r="A215" s="261"/>
      <c r="B215" s="261"/>
      <c r="D215" s="1775"/>
      <c r="E215" s="1775"/>
      <c r="F215" s="1775"/>
    </row>
    <row r="216" spans="1:7" ht="14.25">
      <c r="A216" s="261"/>
      <c r="B216" s="261"/>
      <c r="D216" s="1775"/>
      <c r="E216" s="1775"/>
      <c r="F216" s="1775"/>
    </row>
    <row r="217" spans="1:7" ht="14.25">
      <c r="A217" s="261"/>
      <c r="B217" s="261"/>
      <c r="D217" s="1775"/>
      <c r="E217" s="1775"/>
      <c r="F217" s="1775"/>
    </row>
    <row r="218" spans="1:7" ht="14.25">
      <c r="A218" s="261"/>
      <c r="B218" s="261"/>
      <c r="D218" s="1775"/>
      <c r="E218" s="1775"/>
      <c r="F218" s="1775"/>
    </row>
    <row r="219" spans="1:7">
      <c r="D219" s="135"/>
      <c r="E219" s="135"/>
      <c r="F219" s="135"/>
    </row>
    <row r="220" spans="1:7" ht="14.25">
      <c r="A220" s="261"/>
      <c r="B220" s="680" t="s">
        <v>318</v>
      </c>
      <c r="D220" s="1761" t="s">
        <v>1295</v>
      </c>
      <c r="E220" s="1761"/>
      <c r="F220" s="1761"/>
    </row>
    <row r="221" spans="1:7" ht="14.25">
      <c r="A221" s="261"/>
      <c r="B221" s="261"/>
      <c r="D221" s="1761"/>
      <c r="E221" s="1761"/>
      <c r="F221" s="1761"/>
    </row>
    <row r="222" spans="1:7">
      <c r="D222" s="29"/>
    </row>
    <row r="223" spans="1:7">
      <c r="A223" s="1781" t="s">
        <v>1169</v>
      </c>
      <c r="B223" s="1781"/>
      <c r="C223" s="1781"/>
      <c r="D223" s="1781"/>
      <c r="E223" s="1781"/>
      <c r="F223" s="1781"/>
      <c r="G223" s="1781"/>
    </row>
    <row r="224" spans="1:7">
      <c r="D224" s="29"/>
    </row>
    <row r="225" spans="1:6">
      <c r="C225" s="262"/>
      <c r="D225" s="1784" t="s">
        <v>1298</v>
      </c>
      <c r="E225" s="1784"/>
      <c r="F225" s="1784"/>
    </row>
    <row r="226" spans="1:6">
      <c r="A226" s="255"/>
      <c r="B226" s="674"/>
      <c r="C226" s="255"/>
      <c r="D226" s="135"/>
      <c r="E226" s="135"/>
      <c r="F226" s="135"/>
    </row>
    <row r="227" spans="1:6">
      <c r="A227" s="260"/>
      <c r="B227" s="260"/>
      <c r="C227" s="260"/>
      <c r="D227" s="1784" t="s">
        <v>277</v>
      </c>
      <c r="E227" s="1784"/>
      <c r="F227" s="1784"/>
    </row>
    <row r="228" spans="1:6" ht="14.25">
      <c r="A228" s="261"/>
      <c r="B228" s="680" t="s">
        <v>318</v>
      </c>
      <c r="D228" s="1785" t="s">
        <v>1299</v>
      </c>
      <c r="E228" s="1785"/>
      <c r="F228" s="1785"/>
    </row>
    <row r="229" spans="1:6" ht="14.25">
      <c r="A229" s="261"/>
      <c r="B229" s="261"/>
      <c r="D229" s="1785"/>
      <c r="E229" s="1785"/>
      <c r="F229" s="1785"/>
    </row>
    <row r="230" spans="1:6">
      <c r="D230" s="135"/>
      <c r="E230" s="135"/>
      <c r="F230" s="135"/>
    </row>
    <row r="231" spans="1:6" ht="14.65" customHeight="1">
      <c r="A231" s="261"/>
      <c r="B231" s="680" t="s">
        <v>318</v>
      </c>
      <c r="D231" s="1775" t="s">
        <v>1300</v>
      </c>
      <c r="E231" s="1775"/>
      <c r="F231" s="1775"/>
    </row>
    <row r="232" spans="1:6">
      <c r="D232" s="1775"/>
      <c r="E232" s="1775"/>
      <c r="F232" s="1775"/>
    </row>
    <row r="233" spans="1:6">
      <c r="D233" s="1786" t="s">
        <v>958</v>
      </c>
      <c r="E233" s="1786"/>
      <c r="F233" s="1786"/>
    </row>
    <row r="234" spans="1:6">
      <c r="D234" s="135"/>
      <c r="E234" s="135"/>
      <c r="F234" s="135"/>
    </row>
    <row r="235" spans="1:6" ht="14.65" customHeight="1">
      <c r="A235" s="261"/>
      <c r="B235" s="680" t="s">
        <v>318</v>
      </c>
      <c r="D235" s="1775" t="s">
        <v>1302</v>
      </c>
      <c r="E235" s="1775"/>
      <c r="F235" s="1775"/>
    </row>
    <row r="236" spans="1:6">
      <c r="D236" s="1775"/>
      <c r="E236" s="1775"/>
      <c r="F236" s="1775"/>
    </row>
    <row r="237" spans="1:6">
      <c r="D237" s="1775"/>
      <c r="E237" s="1775"/>
      <c r="F237" s="1775"/>
    </row>
    <row r="238" spans="1:6">
      <c r="D238" s="1775"/>
      <c r="E238" s="1775"/>
      <c r="F238" s="1775"/>
    </row>
    <row r="239" spans="1:6">
      <c r="D239" s="1775"/>
      <c r="E239" s="1775"/>
      <c r="F239" s="1775"/>
    </row>
    <row r="240" spans="1:6">
      <c r="D240" s="135"/>
      <c r="E240" s="135"/>
      <c r="F240" s="135"/>
    </row>
    <row r="241" spans="1:7" ht="14.25">
      <c r="A241" s="261"/>
      <c r="B241" s="680" t="s">
        <v>318</v>
      </c>
      <c r="D241" s="1761" t="s">
        <v>1301</v>
      </c>
      <c r="E241" s="1761"/>
      <c r="F241" s="1761"/>
    </row>
    <row r="242" spans="1:7">
      <c r="D242" s="1761"/>
      <c r="E242" s="1761"/>
      <c r="F242" s="1761"/>
    </row>
    <row r="243" spans="1:7">
      <c r="D243" s="1761"/>
      <c r="E243" s="1761"/>
      <c r="F243" s="1761"/>
    </row>
    <row r="244" spans="1:7">
      <c r="D244" s="263"/>
      <c r="E244" s="135"/>
      <c r="F244" s="135"/>
    </row>
    <row r="245" spans="1:7">
      <c r="A245" s="1781" t="s">
        <v>1170</v>
      </c>
      <c r="B245" s="1781"/>
      <c r="C245" s="1781"/>
      <c r="D245" s="1781"/>
      <c r="E245" s="1781"/>
      <c r="F245" s="1781"/>
      <c r="G245" s="1781"/>
    </row>
    <row r="246" spans="1:7">
      <c r="D246" s="263"/>
      <c r="E246" s="135"/>
      <c r="F246" s="135"/>
    </row>
    <row r="247" spans="1:7">
      <c r="C247" s="255"/>
      <c r="D247" s="1810" t="s">
        <v>1303</v>
      </c>
      <c r="E247" s="1810"/>
      <c r="F247" s="1810"/>
    </row>
    <row r="248" spans="1:7">
      <c r="C248" s="255"/>
      <c r="D248" s="1810"/>
      <c r="E248" s="1810"/>
      <c r="F248" s="1810"/>
    </row>
    <row r="249" spans="1:7">
      <c r="A249" s="260"/>
      <c r="B249" s="260"/>
      <c r="C249" s="260"/>
      <c r="D249" s="5"/>
      <c r="E249" s="6"/>
      <c r="F249" s="6"/>
    </row>
    <row r="250" spans="1:7">
      <c r="C250" s="260"/>
      <c r="D250" s="1784" t="s">
        <v>215</v>
      </c>
      <c r="E250" s="1784"/>
      <c r="F250" s="1784"/>
    </row>
    <row r="251" spans="1:7" ht="15.75" customHeight="1">
      <c r="A251" s="261"/>
      <c r="B251" s="261"/>
      <c r="D251" s="1792" t="s">
        <v>1304</v>
      </c>
      <c r="E251" s="1792"/>
      <c r="F251" s="1792"/>
    </row>
    <row r="252" spans="1:7">
      <c r="E252" s="135"/>
      <c r="F252" s="135"/>
    </row>
    <row r="253" spans="1:7" ht="14.25">
      <c r="A253" s="261"/>
      <c r="B253" s="680" t="s">
        <v>318</v>
      </c>
      <c r="D253" s="1761" t="s">
        <v>1305</v>
      </c>
      <c r="E253" s="1761"/>
      <c r="F253" s="1761"/>
    </row>
    <row r="254" spans="1:7" ht="14.25">
      <c r="A254" s="261"/>
      <c r="B254" s="261"/>
      <c r="D254" s="1761"/>
      <c r="E254" s="1761"/>
      <c r="F254" s="1761"/>
    </row>
    <row r="255" spans="1:7">
      <c r="D255" s="135"/>
      <c r="E255" s="135"/>
      <c r="F255" s="135"/>
    </row>
    <row r="256" spans="1:7" ht="14.25">
      <c r="A256" s="261"/>
      <c r="B256" s="680" t="s">
        <v>318</v>
      </c>
      <c r="D256" s="1775" t="s">
        <v>1306</v>
      </c>
      <c r="E256" s="1775"/>
      <c r="F256" s="1775"/>
    </row>
    <row r="257" spans="1:7" ht="14.25">
      <c r="A257" s="261"/>
      <c r="B257" s="261"/>
      <c r="D257" s="1775"/>
      <c r="E257" s="1775"/>
      <c r="F257" s="1775"/>
    </row>
    <row r="258" spans="1:7" ht="14.25">
      <c r="A258" s="261"/>
      <c r="B258" s="261"/>
      <c r="D258" s="1775"/>
      <c r="E258" s="1775"/>
      <c r="F258" s="1775"/>
    </row>
    <row r="259" spans="1:7">
      <c r="D259" s="135"/>
      <c r="E259" s="135"/>
      <c r="F259" s="135"/>
    </row>
    <row r="260" spans="1:7" ht="14.25">
      <c r="A260" s="261"/>
      <c r="B260" s="680" t="s">
        <v>318</v>
      </c>
      <c r="D260" s="1761" t="s">
        <v>1307</v>
      </c>
      <c r="E260" s="1761"/>
      <c r="F260" s="1761"/>
    </row>
    <row r="261" spans="1:7" ht="14.25">
      <c r="A261" s="261"/>
      <c r="B261" s="261"/>
      <c r="D261" s="1761"/>
      <c r="E261" s="1761"/>
      <c r="F261" s="1761"/>
    </row>
    <row r="262" spans="1:7">
      <c r="A262" s="23"/>
      <c r="B262" s="676"/>
      <c r="E262" s="135"/>
      <c r="F262" s="135"/>
    </row>
    <row r="263" spans="1:7">
      <c r="A263" s="1781" t="s">
        <v>1171</v>
      </c>
      <c r="B263" s="1781"/>
      <c r="C263" s="1781"/>
      <c r="D263" s="1781"/>
      <c r="E263" s="1781"/>
      <c r="F263" s="1781"/>
      <c r="G263" s="1781"/>
    </row>
    <row r="264" spans="1:7">
      <c r="A264" s="23"/>
      <c r="B264" s="676"/>
      <c r="D264" s="135"/>
      <c r="E264" s="135"/>
      <c r="F264" s="135"/>
    </row>
    <row r="265" spans="1:7">
      <c r="C265" s="23"/>
      <c r="D265" s="1784" t="s">
        <v>721</v>
      </c>
      <c r="E265" s="1784"/>
      <c r="F265" s="1784"/>
    </row>
    <row r="266" spans="1:7">
      <c r="C266" s="23"/>
      <c r="D266" s="1774" t="s">
        <v>1308</v>
      </c>
      <c r="E266" s="1774"/>
      <c r="F266" s="1774"/>
    </row>
    <row r="267" spans="1:7">
      <c r="C267" s="23"/>
      <c r="D267" s="259"/>
    </row>
    <row r="268" spans="1:7">
      <c r="A268" s="273"/>
      <c r="B268" s="680" t="s">
        <v>318</v>
      </c>
      <c r="D268" s="1774" t="s">
        <v>1309</v>
      </c>
      <c r="E268" s="1774"/>
      <c r="F268" s="1774"/>
    </row>
    <row r="269" spans="1:7" s="39" customFormat="1" ht="14.25">
      <c r="A269" s="404"/>
      <c r="B269" s="404"/>
      <c r="C269" s="273"/>
      <c r="D269" s="498"/>
      <c r="E269" s="499"/>
      <c r="F269" s="499"/>
      <c r="G269" s="130"/>
    </row>
    <row r="270" spans="1:7" s="39" customFormat="1" ht="13.15" customHeight="1">
      <c r="A270" s="273"/>
      <c r="B270" s="680" t="s">
        <v>318</v>
      </c>
      <c r="C270" s="273"/>
      <c r="D270" s="1787" t="s">
        <v>1310</v>
      </c>
      <c r="E270" s="1787"/>
      <c r="F270" s="1787"/>
      <c r="G270" s="130"/>
    </row>
    <row r="271" spans="1:7" s="39" customFormat="1" ht="14.25">
      <c r="A271" s="404"/>
      <c r="B271" s="404"/>
      <c r="C271" s="273"/>
      <c r="D271" s="1787"/>
      <c r="E271" s="1787"/>
      <c r="F271" s="1787"/>
      <c r="G271" s="130"/>
    </row>
    <row r="272" spans="1:7" s="39" customFormat="1" ht="14.25">
      <c r="A272" s="404"/>
      <c r="B272" s="404"/>
      <c r="C272" s="273"/>
      <c r="D272" s="1787"/>
      <c r="E272" s="1787"/>
      <c r="F272" s="1787"/>
      <c r="G272" s="130"/>
    </row>
    <row r="273" spans="1:7" s="39" customFormat="1" ht="14.25">
      <c r="A273" s="404"/>
      <c r="B273" s="404"/>
      <c r="C273" s="273"/>
      <c r="D273" s="1787"/>
      <c r="E273" s="1787"/>
      <c r="F273" s="1787"/>
      <c r="G273" s="130"/>
    </row>
    <row r="274" spans="1:7" s="39" customFormat="1" ht="14.25">
      <c r="A274" s="404"/>
      <c r="B274" s="404"/>
      <c r="C274" s="273"/>
      <c r="D274" s="1787"/>
      <c r="E274" s="1787"/>
      <c r="F274" s="1787"/>
      <c r="G274" s="130"/>
    </row>
    <row r="275" spans="1:7" s="39" customFormat="1" ht="14.25">
      <c r="A275" s="404"/>
      <c r="B275" s="404"/>
      <c r="C275" s="273"/>
      <c r="D275" s="498"/>
      <c r="E275" s="499"/>
      <c r="F275" s="499"/>
      <c r="G275" s="130"/>
    </row>
    <row r="276" spans="1:7" s="39" customFormat="1" ht="13.15" customHeight="1">
      <c r="A276" s="273"/>
      <c r="B276" s="680" t="s">
        <v>318</v>
      </c>
      <c r="C276" s="273"/>
      <c r="D276" s="1787" t="s">
        <v>1311</v>
      </c>
      <c r="E276" s="1787"/>
      <c r="F276" s="1787"/>
      <c r="G276" s="130"/>
    </row>
    <row r="277" spans="1:7" s="39" customFormat="1">
      <c r="A277" s="273"/>
      <c r="B277" s="273"/>
      <c r="C277" s="273"/>
      <c r="D277" s="1787"/>
      <c r="E277" s="1787"/>
      <c r="F277" s="1787"/>
      <c r="G277" s="130"/>
    </row>
    <row r="278" spans="1:7" s="39" customFormat="1" ht="14.25">
      <c r="A278" s="404"/>
      <c r="B278" s="404"/>
      <c r="C278" s="273"/>
      <c r="D278" s="498"/>
      <c r="E278" s="499"/>
      <c r="F278" s="499"/>
      <c r="G278" s="130"/>
    </row>
    <row r="279" spans="1:7">
      <c r="A279" s="273"/>
      <c r="B279" s="680" t="s">
        <v>318</v>
      </c>
      <c r="D279" s="1774" t="s">
        <v>1312</v>
      </c>
      <c r="E279" s="1774"/>
      <c r="F279" s="1774"/>
    </row>
    <row r="280" spans="1:7">
      <c r="E280" s="135"/>
      <c r="F280" s="135"/>
    </row>
    <row r="281" spans="1:7" ht="14.25">
      <c r="A281" s="261"/>
      <c r="B281" s="680" t="s">
        <v>318</v>
      </c>
      <c r="D281" s="1775" t="s">
        <v>1313</v>
      </c>
      <c r="E281" s="1775"/>
      <c r="F281" s="1775"/>
    </row>
    <row r="282" spans="1:7" ht="14.25">
      <c r="A282" s="261"/>
      <c r="B282" s="261"/>
      <c r="D282" s="1775"/>
      <c r="E282" s="1775"/>
      <c r="F282" s="1775"/>
    </row>
    <row r="283" spans="1:7" s="720" customFormat="1" ht="14.25">
      <c r="A283" s="715"/>
      <c r="B283" s="715"/>
      <c r="C283" s="732"/>
      <c r="D283" s="1775"/>
      <c r="E283" s="1775"/>
      <c r="F283" s="1775"/>
      <c r="G283" s="7"/>
    </row>
    <row r="284" spans="1:7" s="720" customFormat="1" ht="14.25">
      <c r="A284" s="715"/>
      <c r="B284" s="715"/>
      <c r="C284" s="732"/>
      <c r="D284" s="1775"/>
      <c r="E284" s="1775"/>
      <c r="F284" s="1775"/>
      <c r="G284" s="7"/>
    </row>
    <row r="285" spans="1:7" s="720" customFormat="1" ht="14.25">
      <c r="A285" s="715"/>
      <c r="B285" s="715"/>
      <c r="C285" s="732"/>
      <c r="D285" s="1775"/>
      <c r="E285" s="1775"/>
      <c r="F285" s="1775"/>
      <c r="G285" s="7"/>
    </row>
    <row r="286" spans="1:7" s="720" customFormat="1" ht="14.25">
      <c r="A286" s="715"/>
      <c r="B286" s="715"/>
      <c r="C286" s="732"/>
      <c r="D286" s="1775"/>
      <c r="E286" s="1775"/>
      <c r="F286" s="1775"/>
      <c r="G286" s="7"/>
    </row>
    <row r="287" spans="1:7" s="720" customFormat="1" ht="14.25">
      <c r="A287" s="715"/>
      <c r="B287" s="715"/>
      <c r="C287" s="732"/>
      <c r="D287" s="1775"/>
      <c r="E287" s="1775"/>
      <c r="F287" s="1775"/>
      <c r="G287" s="7"/>
    </row>
    <row r="288" spans="1:7" s="720" customFormat="1" ht="14.25">
      <c r="A288" s="715"/>
      <c r="B288" s="715"/>
      <c r="C288" s="732"/>
      <c r="D288" s="1775"/>
      <c r="E288" s="1775"/>
      <c r="F288" s="1775"/>
      <c r="G288" s="7"/>
    </row>
    <row r="289" spans="1:7" s="720" customFormat="1" ht="14.25">
      <c r="A289" s="715"/>
      <c r="B289" s="715"/>
      <c r="C289" s="732"/>
      <c r="D289" s="1775"/>
      <c r="E289" s="1775"/>
      <c r="F289" s="1775"/>
      <c r="G289" s="7"/>
    </row>
    <row r="290" spans="1:7" s="720" customFormat="1" ht="14.25">
      <c r="A290" s="715"/>
      <c r="B290" s="715"/>
      <c r="C290" s="732"/>
      <c r="D290" s="1775"/>
      <c r="E290" s="1775"/>
      <c r="F290" s="1775"/>
      <c r="G290" s="7"/>
    </row>
    <row r="291" spans="1:7" s="720" customFormat="1" ht="14.25">
      <c r="A291" s="715"/>
      <c r="B291" s="715"/>
      <c r="C291" s="732"/>
      <c r="D291" s="1775"/>
      <c r="E291" s="1775"/>
      <c r="F291" s="1775"/>
      <c r="G291" s="7"/>
    </row>
    <row r="292" spans="1:7" s="720" customFormat="1" ht="14.25">
      <c r="A292" s="715"/>
      <c r="B292" s="715"/>
      <c r="C292" s="732"/>
      <c r="D292" s="1775"/>
      <c r="E292" s="1775"/>
      <c r="F292" s="1775"/>
      <c r="G292" s="7"/>
    </row>
    <row r="293" spans="1:7" ht="14.25">
      <c r="A293" s="261"/>
      <c r="B293" s="261"/>
      <c r="D293" s="1775"/>
      <c r="E293" s="1775"/>
      <c r="F293" s="1775"/>
    </row>
    <row r="294" spans="1:7" ht="14.25">
      <c r="A294" s="261"/>
      <c r="B294" s="261"/>
      <c r="D294" s="1775"/>
      <c r="E294" s="1775"/>
      <c r="F294" s="1775"/>
    </row>
    <row r="295" spans="1:7" ht="14.25">
      <c r="A295" s="261"/>
      <c r="B295" s="261"/>
      <c r="D295" s="1775"/>
      <c r="E295" s="1775"/>
      <c r="F295" s="1775"/>
    </row>
    <row r="296" spans="1:7">
      <c r="D296" s="135"/>
      <c r="E296" s="135"/>
      <c r="F296" s="135"/>
    </row>
    <row r="297" spans="1:7" ht="14.25">
      <c r="A297" s="261"/>
      <c r="B297" s="680" t="s">
        <v>318</v>
      </c>
      <c r="D297" s="1775" t="s">
        <v>1314</v>
      </c>
      <c r="E297" s="1775"/>
      <c r="F297" s="1775"/>
    </row>
    <row r="298" spans="1:7">
      <c r="D298" s="1775"/>
      <c r="E298" s="1775"/>
      <c r="F298" s="1775"/>
    </row>
    <row r="299" spans="1:7">
      <c r="D299" s="1775"/>
      <c r="E299" s="1775"/>
      <c r="F299" s="1775"/>
    </row>
    <row r="300" spans="1:7">
      <c r="D300" s="1775"/>
      <c r="E300" s="1775"/>
      <c r="F300" s="1775"/>
    </row>
    <row r="301" spans="1:7">
      <c r="D301" s="1775"/>
      <c r="E301" s="1775"/>
      <c r="F301" s="1775"/>
    </row>
    <row r="302" spans="1:7">
      <c r="D302" s="1775"/>
      <c r="E302" s="1775"/>
      <c r="F302" s="1775"/>
    </row>
    <row r="303" spans="1:7">
      <c r="D303" s="1775"/>
      <c r="E303" s="1775"/>
      <c r="F303" s="1775"/>
    </row>
    <row r="304" spans="1:7">
      <c r="D304" s="1775"/>
      <c r="E304" s="1775"/>
      <c r="F304" s="1775"/>
    </row>
    <row r="305" spans="1:7">
      <c r="D305" s="1775"/>
      <c r="E305" s="1775"/>
      <c r="F305" s="1775"/>
    </row>
    <row r="306" spans="1:7">
      <c r="D306" s="135"/>
      <c r="E306" s="135"/>
      <c r="F306" s="135"/>
    </row>
    <row r="307" spans="1:7" ht="14.25">
      <c r="A307" s="261"/>
      <c r="B307" s="680" t="s">
        <v>318</v>
      </c>
      <c r="D307" s="1761" t="s">
        <v>1315</v>
      </c>
      <c r="E307" s="1761"/>
      <c r="F307" s="1761"/>
    </row>
    <row r="308" spans="1:7">
      <c r="D308" s="1761"/>
      <c r="E308" s="1761"/>
      <c r="F308" s="1761"/>
      <c r="G308" s="12"/>
    </row>
    <row r="309" spans="1:7">
      <c r="D309" s="1761"/>
      <c r="E309" s="1761"/>
      <c r="F309" s="1761"/>
      <c r="G309" s="12"/>
    </row>
    <row r="310" spans="1:7">
      <c r="D310" s="1761"/>
      <c r="E310" s="1761"/>
      <c r="F310" s="1761"/>
      <c r="G310" s="12"/>
    </row>
    <row r="311" spans="1:7">
      <c r="D311" s="1761"/>
      <c r="E311" s="1761"/>
      <c r="F311" s="1761"/>
      <c r="G311" s="12"/>
    </row>
    <row r="312" spans="1:7">
      <c r="D312" s="1761"/>
      <c r="E312" s="1761"/>
      <c r="F312" s="1761"/>
      <c r="G312" s="12"/>
    </row>
    <row r="313" spans="1:7" s="720" customFormat="1">
      <c r="A313" s="732"/>
      <c r="B313" s="732"/>
      <c r="C313" s="732"/>
      <c r="D313" s="729"/>
      <c r="E313" s="729"/>
      <c r="F313" s="729"/>
    </row>
    <row r="314" spans="1:7" ht="13.5" thickBot="1">
      <c r="D314" s="1793" t="s">
        <v>1064</v>
      </c>
      <c r="E314" s="1793"/>
      <c r="F314" s="1793"/>
      <c r="G314" s="12"/>
    </row>
    <row r="315" spans="1:7" s="720" customFormat="1" ht="13.5" thickTop="1">
      <c r="A315" s="732"/>
      <c r="B315" s="732"/>
      <c r="C315" s="732"/>
      <c r="D315" s="1794" t="s">
        <v>1316</v>
      </c>
      <c r="E315" s="1794"/>
      <c r="F315" s="1794"/>
    </row>
    <row r="316" spans="1:7">
      <c r="A316" s="326"/>
      <c r="B316" s="326"/>
      <c r="C316" s="326"/>
      <c r="D316" s="468"/>
      <c r="E316" s="468"/>
      <c r="F316" s="135"/>
      <c r="G316" s="12"/>
    </row>
    <row r="317" spans="1:7" ht="14.25">
      <c r="A317" s="261"/>
      <c r="B317" s="680" t="s">
        <v>318</v>
      </c>
      <c r="C317" s="326"/>
      <c r="D317" s="1795" t="s">
        <v>1317</v>
      </c>
      <c r="E317" s="1795"/>
      <c r="F317" s="1795"/>
      <c r="G317" s="12"/>
    </row>
    <row r="318" spans="1:7">
      <c r="A318" s="326"/>
      <c r="B318" s="326"/>
      <c r="C318" s="326"/>
      <c r="D318" s="468"/>
      <c r="E318" s="468"/>
      <c r="F318" s="135"/>
      <c r="G318" s="12"/>
    </row>
    <row r="319" spans="1:7">
      <c r="A319" s="326"/>
      <c r="B319" s="680" t="s">
        <v>318</v>
      </c>
      <c r="C319" s="326"/>
      <c r="D319" s="1790" t="s">
        <v>1318</v>
      </c>
      <c r="E319" s="1790"/>
      <c r="F319" s="1790"/>
      <c r="G319" s="12"/>
    </row>
    <row r="320" spans="1:7">
      <c r="A320" s="326"/>
      <c r="B320" s="326"/>
      <c r="C320" s="326"/>
      <c r="D320" s="1790"/>
      <c r="E320" s="1790"/>
      <c r="F320" s="1790"/>
      <c r="G320" s="12"/>
    </row>
    <row r="321" spans="1:7">
      <c r="A321" s="326"/>
      <c r="B321" s="326"/>
      <c r="C321" s="326"/>
      <c r="D321" s="1790"/>
      <c r="E321" s="1790"/>
      <c r="F321" s="1790"/>
      <c r="G321" s="12"/>
    </row>
    <row r="322" spans="1:7">
      <c r="A322" s="326"/>
      <c r="B322" s="326"/>
      <c r="C322" s="326"/>
      <c r="D322" s="1790"/>
      <c r="E322" s="1790"/>
      <c r="F322" s="1790"/>
      <c r="G322" s="12"/>
    </row>
    <row r="323" spans="1:7" s="720" customFormat="1">
      <c r="A323" s="326"/>
      <c r="B323" s="326"/>
      <c r="C323" s="326"/>
      <c r="D323" s="1790"/>
      <c r="E323" s="1790"/>
      <c r="F323" s="1790"/>
    </row>
    <row r="324" spans="1:7" s="720" customFormat="1">
      <c r="A324" s="326"/>
      <c r="B324" s="326"/>
      <c r="C324" s="326"/>
      <c r="D324" s="1790"/>
      <c r="E324" s="1790"/>
      <c r="F324" s="1790"/>
    </row>
    <row r="325" spans="1:7" s="720" customFormat="1">
      <c r="A325" s="326"/>
      <c r="B325" s="326"/>
      <c r="C325" s="326"/>
      <c r="D325" s="1790"/>
      <c r="E325" s="1790"/>
      <c r="F325" s="1790"/>
    </row>
    <row r="326" spans="1:7" s="720" customFormat="1">
      <c r="A326" s="326"/>
      <c r="B326" s="326"/>
      <c r="C326" s="326"/>
      <c r="D326" s="1790"/>
      <c r="E326" s="1790"/>
      <c r="F326" s="1790"/>
    </row>
    <row r="327" spans="1:7">
      <c r="A327" s="326"/>
      <c r="B327" s="326"/>
      <c r="C327" s="326"/>
      <c r="D327" s="1790"/>
      <c r="E327" s="1790"/>
      <c r="F327" s="1790"/>
      <c r="G327" s="12"/>
    </row>
    <row r="328" spans="1:7">
      <c r="A328" s="326"/>
      <c r="B328" s="326"/>
      <c r="C328" s="326"/>
      <c r="D328" s="1790"/>
      <c r="E328" s="1790"/>
      <c r="F328" s="1790"/>
      <c r="G328" s="12"/>
    </row>
    <row r="329" spans="1:7">
      <c r="A329" s="326"/>
      <c r="B329" s="326"/>
      <c r="C329" s="326"/>
      <c r="D329" s="1790"/>
      <c r="E329" s="1790"/>
      <c r="F329" s="1790"/>
      <c r="G329" s="12"/>
    </row>
    <row r="330" spans="1:7">
      <c r="A330" s="326"/>
      <c r="B330" s="326"/>
      <c r="C330" s="326"/>
      <c r="D330" s="12"/>
      <c r="E330" s="468"/>
      <c r="F330" s="135"/>
      <c r="G330" s="12"/>
    </row>
    <row r="331" spans="1:7" ht="14.25">
      <c r="A331" s="261"/>
      <c r="B331" s="680" t="s">
        <v>318</v>
      </c>
      <c r="C331" s="326"/>
      <c r="D331" s="1788" t="s">
        <v>1319</v>
      </c>
      <c r="E331" s="1788"/>
      <c r="F331" s="1788"/>
      <c r="G331" s="12"/>
    </row>
    <row r="332" spans="1:7">
      <c r="A332" s="326"/>
      <c r="B332" s="326"/>
      <c r="C332" s="326"/>
      <c r="D332" s="1788"/>
      <c r="E332" s="1788"/>
      <c r="F332" s="1788"/>
      <c r="G332" s="12"/>
    </row>
    <row r="333" spans="1:7">
      <c r="A333" s="326"/>
      <c r="B333" s="326"/>
      <c r="C333" s="326"/>
      <c r="D333" s="1788"/>
      <c r="E333" s="1788"/>
      <c r="F333" s="1788"/>
      <c r="G333" s="12"/>
    </row>
    <row r="334" spans="1:7">
      <c r="A334" s="326"/>
      <c r="B334" s="326"/>
      <c r="C334" s="326"/>
      <c r="D334" s="1788"/>
      <c r="E334" s="1788"/>
      <c r="F334" s="1788"/>
      <c r="G334" s="12"/>
    </row>
    <row r="335" spans="1:7">
      <c r="A335" s="326"/>
      <c r="B335" s="326"/>
      <c r="C335" s="326"/>
      <c r="D335" s="506"/>
      <c r="E335" s="468"/>
      <c r="F335" s="135"/>
      <c r="G335" s="12"/>
    </row>
    <row r="336" spans="1:7">
      <c r="A336" s="326"/>
      <c r="B336" s="326"/>
      <c r="C336" s="326"/>
      <c r="D336" s="1788" t="s">
        <v>1320</v>
      </c>
      <c r="E336" s="1788"/>
      <c r="F336" s="1788"/>
      <c r="G336" s="12"/>
    </row>
    <row r="337" spans="1:7">
      <c r="A337" s="326"/>
      <c r="B337" s="326"/>
      <c r="C337" s="326"/>
      <c r="D337" s="1788"/>
      <c r="E337" s="1788"/>
      <c r="F337" s="1788"/>
      <c r="G337" s="12"/>
    </row>
    <row r="338" spans="1:7">
      <c r="A338" s="326"/>
      <c r="B338" s="326"/>
      <c r="C338" s="326"/>
      <c r="D338" s="1788"/>
      <c r="E338" s="1788"/>
      <c r="F338" s="1788"/>
      <c r="G338" s="12"/>
    </row>
    <row r="339" spans="1:7">
      <c r="A339" s="326"/>
      <c r="B339" s="326"/>
      <c r="C339" s="326"/>
      <c r="D339" s="1788"/>
      <c r="E339" s="1788"/>
      <c r="F339" s="1788"/>
      <c r="G339" s="12"/>
    </row>
    <row r="340" spans="1:7" ht="18" customHeight="1">
      <c r="A340" s="326"/>
      <c r="B340" s="326"/>
      <c r="C340" s="326"/>
      <c r="D340" s="1788"/>
      <c r="E340" s="1788"/>
      <c r="F340" s="1788"/>
      <c r="G340" s="12"/>
    </row>
    <row r="341" spans="1:7">
      <c r="A341" s="326"/>
      <c r="B341" s="326"/>
      <c r="C341" s="326"/>
      <c r="D341" s="1788"/>
      <c r="E341" s="1788"/>
      <c r="F341" s="1788"/>
      <c r="G341" s="12"/>
    </row>
    <row r="342" spans="1:7">
      <c r="A342" s="326"/>
      <c r="B342" s="326"/>
      <c r="C342" s="326"/>
      <c r="D342" s="1788"/>
      <c r="E342" s="1788"/>
      <c r="F342" s="1788"/>
      <c r="G342" s="12"/>
    </row>
    <row r="343" spans="1:7">
      <c r="A343" s="326"/>
      <c r="B343" s="326"/>
      <c r="C343" s="326"/>
      <c r="D343" s="1788"/>
      <c r="E343" s="1788"/>
      <c r="F343" s="1788"/>
      <c r="G343" s="12"/>
    </row>
    <row r="344" spans="1:7" ht="8.25" customHeight="1">
      <c r="A344" s="326"/>
      <c r="B344" s="326"/>
      <c r="C344" s="326"/>
      <c r="D344" s="1788"/>
      <c r="E344" s="1788"/>
      <c r="F344" s="1788"/>
      <c r="G344" s="12"/>
    </row>
    <row r="345" spans="1:7" ht="13.15" customHeight="1">
      <c r="A345" s="326"/>
      <c r="B345" s="326"/>
      <c r="C345" s="326"/>
      <c r="D345" s="1789" t="s">
        <v>1321</v>
      </c>
      <c r="E345" s="1789"/>
      <c r="F345" s="1789"/>
      <c r="G345" s="12"/>
    </row>
    <row r="346" spans="1:7">
      <c r="A346" s="326"/>
      <c r="B346" s="326"/>
      <c r="C346" s="326"/>
      <c r="D346" s="1789"/>
      <c r="E346" s="1789"/>
      <c r="F346" s="1789"/>
      <c r="G346" s="12"/>
    </row>
    <row r="347" spans="1:7">
      <c r="A347" s="326"/>
      <c r="B347" s="326"/>
      <c r="C347" s="326"/>
      <c r="D347" s="1789"/>
      <c r="E347" s="1789"/>
      <c r="F347" s="1789"/>
      <c r="G347" s="12"/>
    </row>
    <row r="348" spans="1:7" s="720" customFormat="1">
      <c r="A348" s="326"/>
      <c r="B348" s="326"/>
      <c r="C348" s="326"/>
      <c r="D348" s="1789"/>
      <c r="E348" s="1789"/>
      <c r="F348" s="1789"/>
    </row>
    <row r="349" spans="1:7" s="720" customFormat="1">
      <c r="A349" s="326"/>
      <c r="B349" s="326"/>
      <c r="C349" s="326"/>
      <c r="D349" s="1789"/>
      <c r="E349" s="1789"/>
      <c r="F349" s="1789"/>
    </row>
    <row r="350" spans="1:7" s="720" customFormat="1">
      <c r="A350" s="326"/>
      <c r="B350" s="326"/>
      <c r="C350" s="326"/>
      <c r="D350" s="1789"/>
      <c r="E350" s="1789"/>
      <c r="F350" s="1789"/>
    </row>
    <row r="351" spans="1:7" s="720" customFormat="1">
      <c r="A351" s="326"/>
      <c r="B351" s="326"/>
      <c r="C351" s="326"/>
      <c r="D351" s="1789"/>
      <c r="E351" s="1789"/>
      <c r="F351" s="1789"/>
    </row>
    <row r="352" spans="1:7" s="720" customFormat="1">
      <c r="A352" s="326"/>
      <c r="B352" s="326"/>
      <c r="C352" s="326"/>
      <c r="D352" s="1789"/>
      <c r="E352" s="1789"/>
      <c r="F352" s="1789"/>
    </row>
    <row r="353" spans="1:7">
      <c r="A353" s="326"/>
      <c r="B353" s="326"/>
      <c r="C353" s="326"/>
      <c r="D353" s="1789"/>
      <c r="E353" s="1789"/>
      <c r="F353" s="1789"/>
      <c r="G353" s="12"/>
    </row>
    <row r="354" spans="1:7">
      <c r="A354" s="326"/>
      <c r="B354" s="326"/>
      <c r="C354" s="326"/>
      <c r="D354" s="1789"/>
      <c r="E354" s="1789"/>
      <c r="F354" s="1789"/>
      <c r="G354" s="12"/>
    </row>
    <row r="355" spans="1:7">
      <c r="A355" s="326"/>
      <c r="B355" s="326"/>
      <c r="C355" s="326"/>
      <c r="D355" s="1789"/>
      <c r="E355" s="1789"/>
      <c r="F355" s="1789"/>
      <c r="G355" s="12"/>
    </row>
    <row r="356" spans="1:7">
      <c r="A356" s="326"/>
      <c r="B356" s="326"/>
      <c r="C356" s="326"/>
      <c r="D356" s="1789"/>
      <c r="E356" s="1789"/>
      <c r="F356" s="1789"/>
      <c r="G356" s="12"/>
    </row>
    <row r="357" spans="1:7">
      <c r="A357" s="326"/>
      <c r="B357" s="326"/>
      <c r="C357" s="508"/>
      <c r="D357" s="1789"/>
      <c r="E357" s="1789"/>
      <c r="F357" s="1789"/>
      <c r="G357" s="12"/>
    </row>
    <row r="358" spans="1:7">
      <c r="A358" s="326"/>
      <c r="B358" s="326"/>
      <c r="C358" s="508"/>
      <c r="D358" s="1789"/>
      <c r="E358" s="1789"/>
      <c r="F358" s="1789"/>
      <c r="G358" s="12"/>
    </row>
    <row r="359" spans="1:7">
      <c r="A359" s="326"/>
      <c r="B359" s="326"/>
      <c r="C359" s="326"/>
      <c r="D359" s="1789"/>
      <c r="E359" s="1789"/>
      <c r="F359" s="1789"/>
      <c r="G359" s="12"/>
    </row>
    <row r="360" spans="1:7">
      <c r="A360" s="326"/>
      <c r="B360" s="326"/>
      <c r="C360" s="508"/>
      <c r="D360" s="1789"/>
      <c r="E360" s="1789"/>
      <c r="F360" s="1789"/>
      <c r="G360" s="12"/>
    </row>
    <row r="361" spans="1:7">
      <c r="A361" s="326"/>
      <c r="B361" s="326"/>
      <c r="C361" s="508"/>
      <c r="D361" s="1789"/>
      <c r="E361" s="1789"/>
      <c r="F361" s="1789"/>
      <c r="G361" s="12"/>
    </row>
    <row r="362" spans="1:7">
      <c r="A362" s="326"/>
      <c r="B362" s="326"/>
      <c r="C362" s="508"/>
      <c r="D362" s="1789"/>
      <c r="E362" s="1789"/>
      <c r="F362" s="1789"/>
      <c r="G362" s="12"/>
    </row>
    <row r="363" spans="1:7">
      <c r="A363" s="326"/>
      <c r="B363" s="326"/>
      <c r="C363" s="326"/>
      <c r="D363" s="506"/>
      <c r="E363" s="468"/>
      <c r="F363" s="135"/>
      <c r="G363" s="12"/>
    </row>
    <row r="364" spans="1:7">
      <c r="A364" s="326"/>
      <c r="B364" s="680" t="s">
        <v>318</v>
      </c>
      <c r="C364" s="326"/>
      <c r="D364" s="1789" t="s">
        <v>1322</v>
      </c>
      <c r="E364" s="1789"/>
      <c r="F364" s="1789"/>
      <c r="G364" s="12"/>
    </row>
    <row r="365" spans="1:7">
      <c r="A365" s="326"/>
      <c r="B365" s="326"/>
      <c r="C365" s="326"/>
      <c r="D365" s="1789"/>
      <c r="E365" s="1789"/>
      <c r="F365" s="1789"/>
      <c r="G365" s="12"/>
    </row>
    <row r="366" spans="1:7">
      <c r="A366" s="326"/>
      <c r="B366" s="326"/>
      <c r="C366" s="326"/>
      <c r="D366" s="468"/>
      <c r="E366" s="468"/>
      <c r="F366" s="135"/>
      <c r="G366" s="12"/>
    </row>
    <row r="367" spans="1:7" ht="14.25">
      <c r="A367" s="261"/>
      <c r="B367" s="680" t="s">
        <v>318</v>
      </c>
      <c r="C367" s="326"/>
      <c r="D367" s="1790" t="s">
        <v>1323</v>
      </c>
      <c r="E367" s="1790"/>
      <c r="F367" s="1790"/>
      <c r="G367" s="12"/>
    </row>
    <row r="368" spans="1:7" ht="14.25">
      <c r="A368" s="507"/>
      <c r="B368" s="507"/>
      <c r="C368" s="326"/>
      <c r="D368" s="1790"/>
      <c r="E368" s="1790"/>
      <c r="F368" s="1790"/>
      <c r="G368" s="12"/>
    </row>
    <row r="369" spans="1:7" ht="14.25">
      <c r="A369" s="507"/>
      <c r="B369" s="507"/>
      <c r="C369" s="326"/>
      <c r="D369" s="1790"/>
      <c r="E369" s="1790"/>
      <c r="F369" s="1790"/>
      <c r="G369" s="12"/>
    </row>
    <row r="370" spans="1:7" ht="14.25">
      <c r="A370" s="507"/>
      <c r="B370" s="507"/>
      <c r="C370" s="326"/>
      <c r="D370" s="1790"/>
      <c r="E370" s="1790"/>
      <c r="F370" s="1790"/>
      <c r="G370" s="12"/>
    </row>
    <row r="371" spans="1:7" ht="14.25">
      <c r="A371" s="507"/>
      <c r="B371" s="507"/>
      <c r="C371" s="326"/>
      <c r="D371" s="1790"/>
      <c r="E371" s="1790"/>
      <c r="F371" s="1790"/>
      <c r="G371" s="12"/>
    </row>
    <row r="372" spans="1:7">
      <c r="D372" s="135"/>
      <c r="E372" s="135"/>
      <c r="F372" s="135"/>
      <c r="G372" s="12"/>
    </row>
    <row r="373" spans="1:7" ht="14.25">
      <c r="A373" s="261"/>
      <c r="B373" s="680" t="s">
        <v>318</v>
      </c>
      <c r="C373" s="266"/>
      <c r="D373" s="1761" t="s">
        <v>1324</v>
      </c>
      <c r="E373" s="1761"/>
      <c r="F373" s="1761"/>
      <c r="G373" s="12"/>
    </row>
    <row r="374" spans="1:7" ht="14.25">
      <c r="A374" s="261"/>
      <c r="B374" s="261"/>
      <c r="D374" s="1761"/>
      <c r="E374" s="1761"/>
      <c r="F374" s="1761"/>
      <c r="G374" s="12"/>
    </row>
    <row r="375" spans="1:7">
      <c r="D375" s="1761"/>
      <c r="E375" s="1761"/>
      <c r="F375" s="1761"/>
      <c r="G375" s="12"/>
    </row>
    <row r="376" spans="1:7">
      <c r="D376" s="1761"/>
      <c r="E376" s="1761"/>
      <c r="F376" s="1761"/>
      <c r="G376" s="12"/>
    </row>
    <row r="377" spans="1:7">
      <c r="D377" s="1761"/>
      <c r="E377" s="1761"/>
      <c r="F377" s="1761"/>
      <c r="G377" s="12"/>
    </row>
    <row r="378" spans="1:7">
      <c r="D378" s="1761"/>
      <c r="E378" s="1761"/>
      <c r="F378" s="1761"/>
      <c r="G378" s="12"/>
    </row>
    <row r="379" spans="1:7">
      <c r="D379" s="1761"/>
      <c r="E379" s="1761"/>
      <c r="F379" s="1761"/>
      <c r="G379" s="12"/>
    </row>
    <row r="380" spans="1:7">
      <c r="D380" s="1761"/>
      <c r="E380" s="1761"/>
      <c r="F380" s="1761"/>
      <c r="G380" s="12"/>
    </row>
    <row r="381" spans="1:7">
      <c r="D381" s="1761"/>
      <c r="E381" s="1761"/>
      <c r="F381" s="1761"/>
      <c r="G381" s="12"/>
    </row>
    <row r="382" spans="1:7">
      <c r="D382" s="1761"/>
      <c r="E382" s="1761"/>
      <c r="F382" s="1761"/>
      <c r="G382" s="12"/>
    </row>
    <row r="383" spans="1:7">
      <c r="D383" s="1761"/>
      <c r="E383" s="1761"/>
      <c r="F383" s="1761"/>
      <c r="G383" s="12"/>
    </row>
    <row r="384" spans="1:7">
      <c r="D384" s="1761"/>
      <c r="E384" s="1761"/>
      <c r="F384" s="1761"/>
      <c r="G384" s="12"/>
    </row>
    <row r="385" spans="1:7">
      <c r="D385" s="1761"/>
      <c r="E385" s="1761"/>
      <c r="F385" s="1761"/>
      <c r="G385" s="12"/>
    </row>
    <row r="386" spans="1:7">
      <c r="A386" s="12"/>
      <c r="B386" s="12"/>
      <c r="C386" s="12"/>
      <c r="D386" s="1761"/>
      <c r="E386" s="1761"/>
      <c r="F386" s="1761"/>
      <c r="G386" s="12"/>
    </row>
    <row r="387" spans="1:7">
      <c r="A387" s="12"/>
      <c r="B387" s="12"/>
      <c r="C387" s="12"/>
      <c r="D387" s="1761"/>
      <c r="E387" s="1761"/>
      <c r="F387" s="1761"/>
      <c r="G387" s="12"/>
    </row>
    <row r="388" spans="1:7">
      <c r="A388" s="12"/>
      <c r="B388" s="12"/>
      <c r="C388" s="12"/>
      <c r="D388" s="1761"/>
      <c r="E388" s="1761"/>
      <c r="F388" s="1761"/>
      <c r="G388" s="12"/>
    </row>
    <row r="389" spans="1:7">
      <c r="A389" s="12"/>
      <c r="B389" s="12"/>
      <c r="C389" s="12"/>
      <c r="D389" s="1761"/>
      <c r="E389" s="1761"/>
      <c r="F389" s="1761"/>
      <c r="G389" s="12"/>
    </row>
    <row r="390" spans="1:7">
      <c r="A390" s="12"/>
      <c r="B390" s="12"/>
      <c r="C390" s="12"/>
      <c r="D390" s="1761"/>
      <c r="E390" s="1761"/>
      <c r="F390" s="1761"/>
      <c r="G390" s="12"/>
    </row>
    <row r="391" spans="1:7">
      <c r="A391" s="12"/>
      <c r="B391" s="12"/>
      <c r="C391" s="12"/>
      <c r="D391" s="1761"/>
      <c r="E391" s="1761"/>
      <c r="F391" s="1761"/>
      <c r="G391" s="12"/>
    </row>
    <row r="392" spans="1:7">
      <c r="A392" s="12"/>
      <c r="B392" s="12"/>
      <c r="C392" s="12"/>
      <c r="D392" s="1761"/>
      <c r="E392" s="1761"/>
      <c r="F392" s="1761"/>
      <c r="G392" s="12"/>
    </row>
    <row r="393" spans="1:7">
      <c r="A393" s="12"/>
      <c r="B393" s="12"/>
      <c r="C393" s="12"/>
      <c r="D393" s="1761"/>
      <c r="E393" s="1761"/>
      <c r="F393" s="1761"/>
      <c r="G393" s="12"/>
    </row>
    <row r="394" spans="1:7">
      <c r="A394" s="12"/>
      <c r="B394" s="12"/>
      <c r="C394" s="12"/>
      <c r="D394" s="1761"/>
      <c r="E394" s="1761"/>
      <c r="F394" s="1761"/>
      <c r="G394" s="12"/>
    </row>
    <row r="395" spans="1:7">
      <c r="A395" s="12"/>
      <c r="B395" s="12"/>
      <c r="C395" s="12"/>
      <c r="D395" s="1761"/>
      <c r="E395" s="1761"/>
      <c r="F395" s="1761"/>
      <c r="G395" s="12"/>
    </row>
    <row r="396" spans="1:7">
      <c r="A396" s="12"/>
      <c r="B396" s="12"/>
      <c r="C396" s="12"/>
      <c r="D396" s="1761"/>
      <c r="E396" s="1761"/>
      <c r="F396" s="1761"/>
      <c r="G396" s="12"/>
    </row>
    <row r="397" spans="1:7">
      <c r="A397" s="12"/>
      <c r="B397" s="12"/>
      <c r="C397" s="12"/>
      <c r="D397" s="1761"/>
      <c r="E397" s="1761"/>
      <c r="F397" s="1761"/>
      <c r="G397" s="12"/>
    </row>
    <row r="398" spans="1:7">
      <c r="A398" s="12"/>
      <c r="B398" s="12"/>
      <c r="C398" s="12"/>
      <c r="D398" s="1761"/>
      <c r="E398" s="1761"/>
      <c r="F398" s="1761"/>
      <c r="G398" s="12"/>
    </row>
    <row r="399" spans="1:7">
      <c r="A399" s="12"/>
      <c r="B399" s="12"/>
      <c r="C399" s="12"/>
      <c r="D399" s="1761"/>
      <c r="E399" s="1761"/>
      <c r="F399" s="1761"/>
      <c r="G399" s="12"/>
    </row>
    <row r="400" spans="1:7">
      <c r="A400" s="12"/>
      <c r="B400" s="12"/>
      <c r="C400" s="12"/>
      <c r="D400" s="1761"/>
      <c r="E400" s="1761"/>
      <c r="F400" s="1761"/>
      <c r="G400" s="12"/>
    </row>
    <row r="401" spans="1:7">
      <c r="A401" s="12"/>
      <c r="B401" s="12"/>
      <c r="C401" s="12"/>
      <c r="D401" s="1761"/>
      <c r="E401" s="1761"/>
      <c r="F401" s="1761"/>
      <c r="G401" s="12"/>
    </row>
    <row r="402" spans="1:7" s="32" customFormat="1">
      <c r="A402" s="132"/>
      <c r="B402" s="677"/>
      <c r="C402" s="132"/>
      <c r="D402" s="1761"/>
      <c r="E402" s="1761"/>
      <c r="F402" s="1761"/>
      <c r="G402" s="30"/>
    </row>
    <row r="403" spans="1:7" s="32" customFormat="1" ht="40.9" customHeight="1">
      <c r="A403" s="132"/>
      <c r="B403" s="677"/>
      <c r="C403" s="132"/>
      <c r="D403" s="1761"/>
      <c r="E403" s="1761"/>
      <c r="F403" s="1761"/>
      <c r="G403" s="30"/>
    </row>
    <row r="404" spans="1:7" s="32" customFormat="1">
      <c r="A404" s="132"/>
      <c r="B404" s="677"/>
      <c r="C404" s="132"/>
      <c r="D404" s="135"/>
      <c r="E404" s="135"/>
      <c r="F404" s="135"/>
      <c r="G404" s="30"/>
    </row>
    <row r="405" spans="1:7" ht="14.25">
      <c r="A405" s="261"/>
      <c r="B405" s="680" t="s">
        <v>318</v>
      </c>
      <c r="C405" s="266"/>
      <c r="D405" s="1774" t="s">
        <v>1325</v>
      </c>
      <c r="E405" s="1774"/>
      <c r="F405" s="1774"/>
    </row>
    <row r="406" spans="1:7">
      <c r="D406" s="1791" t="s">
        <v>1089</v>
      </c>
      <c r="E406" s="1791"/>
      <c r="F406" s="1791"/>
    </row>
    <row r="407" spans="1:7">
      <c r="D407" s="1775" t="s">
        <v>1326</v>
      </c>
      <c r="E407" s="1775"/>
      <c r="F407" s="1775"/>
    </row>
    <row r="408" spans="1:7">
      <c r="D408" s="1775"/>
      <c r="E408" s="1775"/>
      <c r="F408" s="1775"/>
    </row>
    <row r="409" spans="1:7">
      <c r="D409" s="1775"/>
      <c r="E409" s="1775"/>
      <c r="F409" s="1775"/>
    </row>
    <row r="410" spans="1:7">
      <c r="D410" s="1775"/>
      <c r="E410" s="1775"/>
      <c r="F410" s="1775"/>
    </row>
    <row r="411" spans="1:7">
      <c r="D411" s="135"/>
      <c r="E411" s="135"/>
      <c r="F411" s="135"/>
      <c r="G411" s="12"/>
    </row>
    <row r="412" spans="1:7" ht="14.25">
      <c r="A412" s="261"/>
      <c r="B412" s="680" t="s">
        <v>318</v>
      </c>
      <c r="C412" s="266"/>
      <c r="D412" s="1761" t="s">
        <v>1327</v>
      </c>
      <c r="E412" s="1761"/>
      <c r="F412" s="1761"/>
      <c r="G412" s="12"/>
    </row>
    <row r="413" spans="1:7">
      <c r="D413" s="1761"/>
      <c r="E413" s="1761"/>
      <c r="F413" s="1761"/>
      <c r="G413" s="12"/>
    </row>
    <row r="414" spans="1:7">
      <c r="D414" s="1761"/>
      <c r="E414" s="1761"/>
      <c r="F414" s="1761"/>
      <c r="G414" s="12"/>
    </row>
    <row r="415" spans="1:7" s="720" customFormat="1">
      <c r="A415" s="732"/>
      <c r="B415" s="732"/>
      <c r="C415" s="732"/>
      <c r="D415" s="729"/>
      <c r="E415" s="729"/>
      <c r="F415" s="729"/>
    </row>
    <row r="416" spans="1:7" ht="14.25">
      <c r="B416" s="680" t="s">
        <v>318</v>
      </c>
      <c r="C416" s="261"/>
      <c r="D416" s="1775" t="s">
        <v>1328</v>
      </c>
      <c r="E416" s="1775"/>
      <c r="F416" s="1775"/>
      <c r="G416" s="12"/>
    </row>
    <row r="417" spans="1:7">
      <c r="D417" s="1775"/>
      <c r="E417" s="1775"/>
      <c r="F417" s="1775"/>
      <c r="G417" s="12"/>
    </row>
    <row r="418" spans="1:7">
      <c r="D418" s="135"/>
      <c r="E418" s="135"/>
      <c r="F418" s="135"/>
      <c r="G418" s="12"/>
    </row>
    <row r="419" spans="1:7" ht="14.25">
      <c r="B419" s="680" t="s">
        <v>318</v>
      </c>
      <c r="C419" s="261"/>
      <c r="D419" s="1775" t="s">
        <v>1329</v>
      </c>
      <c r="E419" s="1775"/>
      <c r="F419" s="1775"/>
      <c r="G419" s="12"/>
    </row>
    <row r="420" spans="1:7">
      <c r="D420" s="1775"/>
      <c r="E420" s="1775"/>
      <c r="F420" s="1775"/>
      <c r="G420" s="12"/>
    </row>
    <row r="421" spans="1:7">
      <c r="D421" s="1775"/>
      <c r="E421" s="1775"/>
      <c r="F421" s="1775"/>
      <c r="G421" s="12"/>
    </row>
    <row r="422" spans="1:7">
      <c r="D422" s="1775"/>
      <c r="E422" s="1775"/>
      <c r="F422" s="1775"/>
      <c r="G422" s="12"/>
    </row>
    <row r="423" spans="1:7">
      <c r="B423" s="680" t="s">
        <v>318</v>
      </c>
      <c r="D423" s="1775"/>
      <c r="E423" s="1775"/>
      <c r="F423" s="1775"/>
      <c r="G423" s="12"/>
    </row>
    <row r="424" spans="1:7">
      <c r="A424" s="12"/>
      <c r="B424" s="12"/>
      <c r="C424" s="12"/>
      <c r="D424" s="1775"/>
      <c r="E424" s="1775"/>
      <c r="F424" s="1775"/>
      <c r="G424" s="12"/>
    </row>
    <row r="425" spans="1:7">
      <c r="A425" s="12"/>
      <c r="C425" s="12"/>
      <c r="D425" s="1775"/>
      <c r="E425" s="1775"/>
      <c r="F425" s="1775"/>
      <c r="G425" s="12"/>
    </row>
    <row r="426" spans="1:7">
      <c r="A426" s="12"/>
      <c r="B426" s="680" t="s">
        <v>318</v>
      </c>
      <c r="C426" s="12"/>
      <c r="D426" s="1775"/>
      <c r="E426" s="1775"/>
      <c r="F426" s="1775"/>
      <c r="G426" s="12"/>
    </row>
    <row r="427" spans="1:7">
      <c r="A427" s="12"/>
      <c r="B427" s="12"/>
      <c r="C427" s="12"/>
      <c r="D427" s="1775"/>
      <c r="E427" s="1775"/>
      <c r="F427" s="1775"/>
      <c r="G427" s="12"/>
    </row>
    <row r="428" spans="1:7">
      <c r="A428" s="12"/>
      <c r="C428" s="12"/>
      <c r="D428" s="1775"/>
      <c r="E428" s="1775"/>
      <c r="F428" s="1775"/>
      <c r="G428" s="12"/>
    </row>
    <row r="429" spans="1:7">
      <c r="A429" s="12"/>
      <c r="C429" s="12"/>
      <c r="D429" s="1775"/>
      <c r="E429" s="1775"/>
      <c r="F429" s="1775"/>
      <c r="G429" s="12"/>
    </row>
    <row r="430" spans="1:7">
      <c r="A430" s="12"/>
      <c r="B430" s="680" t="s">
        <v>318</v>
      </c>
      <c r="C430" s="12"/>
      <c r="D430" s="1775"/>
      <c r="E430" s="1775"/>
      <c r="F430" s="1775"/>
      <c r="G430" s="12"/>
    </row>
    <row r="431" spans="1:7">
      <c r="A431" s="12"/>
      <c r="B431" s="12"/>
      <c r="C431" s="12"/>
      <c r="D431" s="1775"/>
      <c r="E431" s="1775"/>
      <c r="F431" s="1775"/>
      <c r="G431" s="12"/>
    </row>
    <row r="432" spans="1:7">
      <c r="A432" s="12"/>
      <c r="B432" s="680" t="s">
        <v>318</v>
      </c>
      <c r="C432" s="12"/>
      <c r="D432" s="1775"/>
      <c r="E432" s="1775"/>
      <c r="F432" s="1775"/>
      <c r="G432" s="12"/>
    </row>
    <row r="433" spans="1:7" s="720" customFormat="1">
      <c r="D433" s="730"/>
      <c r="E433" s="730"/>
      <c r="F433" s="730"/>
    </row>
    <row r="434" spans="1:7">
      <c r="A434" s="12"/>
      <c r="B434" s="719" t="s">
        <v>318</v>
      </c>
      <c r="C434" s="12"/>
      <c r="D434" s="1775" t="s">
        <v>1330</v>
      </c>
      <c r="E434" s="1775"/>
      <c r="F434" s="1775"/>
      <c r="G434" s="12"/>
    </row>
    <row r="435" spans="1:7">
      <c r="A435" s="12"/>
      <c r="B435" s="12"/>
      <c r="C435" s="12"/>
      <c r="D435" s="1775"/>
      <c r="E435" s="1775"/>
      <c r="F435" s="1775"/>
      <c r="G435" s="12"/>
    </row>
    <row r="436" spans="1:7">
      <c r="A436" s="12"/>
      <c r="B436" s="12"/>
      <c r="C436" s="12"/>
      <c r="D436" s="1775"/>
      <c r="E436" s="1775"/>
      <c r="F436" s="1775"/>
      <c r="G436" s="12"/>
    </row>
    <row r="437" spans="1:7">
      <c r="A437" s="12"/>
      <c r="B437" s="12"/>
      <c r="C437" s="12"/>
      <c r="D437" s="1775"/>
      <c r="E437" s="1775"/>
      <c r="F437" s="1775"/>
      <c r="G437" s="12"/>
    </row>
    <row r="438" spans="1:7">
      <c r="D438" s="1775"/>
      <c r="E438" s="1775"/>
      <c r="F438" s="1775"/>
    </row>
    <row r="439" spans="1:7">
      <c r="D439" s="135"/>
      <c r="E439" s="135"/>
      <c r="F439" s="135"/>
    </row>
    <row r="440" spans="1:7">
      <c r="B440" s="680" t="s">
        <v>318</v>
      </c>
      <c r="D440" s="1776" t="s">
        <v>1331</v>
      </c>
      <c r="E440" s="1776"/>
      <c r="F440" s="1776"/>
    </row>
    <row r="441" spans="1:7">
      <c r="A441" s="135"/>
      <c r="B441" s="135"/>
    </row>
    <row r="442" spans="1:7">
      <c r="A442" s="1781" t="s">
        <v>1172</v>
      </c>
      <c r="B442" s="1781"/>
      <c r="C442" s="1781"/>
      <c r="D442" s="1781"/>
      <c r="E442" s="1781"/>
      <c r="F442" s="1781"/>
      <c r="G442" s="1781"/>
    </row>
    <row r="443" spans="1:7">
      <c r="A443" s="135"/>
      <c r="B443" s="135"/>
    </row>
    <row r="444" spans="1:7">
      <c r="D444" s="1777" t="s">
        <v>952</v>
      </c>
      <c r="E444" s="1777"/>
      <c r="F444" s="1777"/>
    </row>
    <row r="445" spans="1:7" s="39" customFormat="1" ht="14.25">
      <c r="A445" s="404"/>
      <c r="B445" s="404"/>
      <c r="C445" s="273"/>
      <c r="D445" s="1778" t="s">
        <v>1332</v>
      </c>
      <c r="E445" s="1778"/>
      <c r="F445" s="1778"/>
      <c r="G445" s="130"/>
    </row>
    <row r="446" spans="1:7" s="39" customFormat="1" ht="14.25">
      <c r="A446" s="404"/>
      <c r="B446" s="404"/>
      <c r="C446" s="273"/>
      <c r="D446" s="733"/>
      <c r="E446" s="6"/>
      <c r="F446" s="6"/>
      <c r="G446" s="130"/>
    </row>
    <row r="447" spans="1:7" s="39" customFormat="1" ht="14.25">
      <c r="A447" s="261"/>
      <c r="B447" s="680" t="s">
        <v>318</v>
      </c>
      <c r="C447" s="273"/>
      <c r="D447" s="1779" t="s">
        <v>1333</v>
      </c>
      <c r="E447" s="1779"/>
      <c r="F447" s="1779"/>
      <c r="G447" s="130"/>
    </row>
    <row r="448" spans="1:7" s="39" customFormat="1" ht="14.25">
      <c r="A448" s="261"/>
      <c r="B448" s="261"/>
      <c r="C448" s="273"/>
      <c r="D448" s="1779"/>
      <c r="E448" s="1779"/>
      <c r="F448" s="1779"/>
      <c r="G448" s="130"/>
    </row>
    <row r="449" spans="1:7" s="39" customFormat="1" ht="14.25">
      <c r="A449" s="261"/>
      <c r="B449" s="261"/>
      <c r="C449" s="273"/>
      <c r="D449" s="731"/>
      <c r="E449" s="6"/>
      <c r="F449" s="6"/>
      <c r="G449" s="130"/>
    </row>
    <row r="450" spans="1:7">
      <c r="B450" s="680" t="s">
        <v>318</v>
      </c>
      <c r="D450" s="1780" t="s">
        <v>1334</v>
      </c>
      <c r="E450" s="1780"/>
      <c r="F450" s="1780"/>
    </row>
    <row r="451" spans="1:7" ht="14.25">
      <c r="A451" s="261"/>
      <c r="D451" s="1780"/>
      <c r="E451" s="1780"/>
      <c r="F451" s="1780"/>
    </row>
    <row r="452" spans="1:7" ht="14.25">
      <c r="A452" s="261"/>
      <c r="B452" s="261"/>
      <c r="D452" s="1780"/>
      <c r="E452" s="1780"/>
      <c r="F452" s="1780"/>
    </row>
    <row r="453" spans="1:7" ht="14.25">
      <c r="A453" s="261"/>
      <c r="B453" s="261"/>
      <c r="D453" s="1780"/>
      <c r="E453" s="1780"/>
      <c r="F453" s="1780"/>
    </row>
    <row r="454" spans="1:7">
      <c r="D454" s="679"/>
      <c r="E454" s="679"/>
      <c r="F454" s="679"/>
      <c r="G454" s="12"/>
    </row>
    <row r="455" spans="1:7" ht="14.25">
      <c r="A455" s="261"/>
      <c r="B455" s="680" t="s">
        <v>318</v>
      </c>
      <c r="D455" s="1762" t="s">
        <v>1335</v>
      </c>
      <c r="E455" s="1762"/>
      <c r="F455" s="1762"/>
      <c r="G455" s="12"/>
    </row>
    <row r="456" spans="1:7" ht="14.25">
      <c r="A456" s="261"/>
      <c r="B456" s="261"/>
      <c r="D456" s="1762"/>
      <c r="E456" s="1762"/>
      <c r="F456" s="1762"/>
      <c r="G456" s="12"/>
    </row>
    <row r="457" spans="1:7" ht="14.25">
      <c r="A457" s="261"/>
      <c r="D457" s="1762"/>
      <c r="E457" s="1762"/>
      <c r="F457" s="1762"/>
      <c r="G457" s="12"/>
    </row>
    <row r="458" spans="1:7" ht="14.25">
      <c r="A458" s="261"/>
      <c r="B458" s="261"/>
      <c r="D458" s="679"/>
      <c r="E458" s="679"/>
      <c r="F458" s="679"/>
      <c r="G458" s="12"/>
    </row>
    <row r="459" spans="1:7" ht="14.25">
      <c r="A459" s="261"/>
      <c r="B459" s="719" t="s">
        <v>318</v>
      </c>
      <c r="D459" s="1774" t="s">
        <v>1336</v>
      </c>
      <c r="E459" s="1774"/>
      <c r="F459" s="1774"/>
      <c r="G459" s="12"/>
    </row>
    <row r="460" spans="1:7" ht="14.25">
      <c r="A460" s="261"/>
      <c r="B460" s="261"/>
      <c r="D460" s="731"/>
      <c r="E460" s="6"/>
      <c r="F460" s="6"/>
      <c r="G460" s="12"/>
    </row>
    <row r="461" spans="1:7" ht="14.25">
      <c r="A461" s="261"/>
      <c r="B461" s="680" t="s">
        <v>318</v>
      </c>
      <c r="D461" s="1761" t="s">
        <v>1337</v>
      </c>
      <c r="E461" s="1761"/>
      <c r="F461" s="1761"/>
      <c r="G461" s="12"/>
    </row>
    <row r="462" spans="1:7" ht="14.25">
      <c r="A462" s="261"/>
      <c r="D462" s="1761"/>
      <c r="E462" s="1761"/>
      <c r="F462" s="1761"/>
      <c r="G462" s="12"/>
    </row>
    <row r="463" spans="1:7">
      <c r="A463" s="23"/>
      <c r="B463" s="676"/>
      <c r="D463" s="734"/>
      <c r="E463" s="6"/>
      <c r="F463" s="6"/>
      <c r="G463" s="12"/>
    </row>
    <row r="464" spans="1:7">
      <c r="A464" s="23"/>
      <c r="B464" s="719" t="s">
        <v>318</v>
      </c>
      <c r="D464" s="1774" t="s">
        <v>1338</v>
      </c>
      <c r="E464" s="1774"/>
      <c r="F464" s="1774"/>
      <c r="G464" s="12"/>
    </row>
    <row r="465" spans="1:7" ht="14.25">
      <c r="A465" s="261"/>
      <c r="B465" s="261"/>
      <c r="D465" s="135"/>
    </row>
    <row r="466" spans="1:7">
      <c r="A466" s="1781" t="s">
        <v>1173</v>
      </c>
      <c r="B466" s="1781"/>
      <c r="C466" s="1781"/>
      <c r="D466" s="1781"/>
      <c r="E466" s="1781"/>
      <c r="F466" s="1781"/>
      <c r="G466" s="1781"/>
    </row>
    <row r="467" spans="1:7" customFormat="1" ht="12" customHeight="1">
      <c r="A467" s="261"/>
      <c r="B467" s="261"/>
      <c r="C467" s="10"/>
      <c r="D467" s="151"/>
      <c r="E467" s="149"/>
      <c r="F467" s="149"/>
      <c r="G467" s="149"/>
    </row>
    <row r="468" spans="1:7" customFormat="1">
      <c r="A468" s="273"/>
      <c r="B468" s="273"/>
      <c r="C468" s="313"/>
      <c r="D468" s="1782" t="s">
        <v>855</v>
      </c>
      <c r="E468" s="1782"/>
      <c r="F468" s="1782"/>
      <c r="G468" s="182"/>
    </row>
    <row r="469" spans="1:7" customFormat="1" ht="13.15" customHeight="1">
      <c r="A469" s="260"/>
      <c r="B469" s="260"/>
      <c r="C469" s="314"/>
      <c r="D469" s="1783" t="s">
        <v>1216</v>
      </c>
      <c r="E469" s="1783"/>
      <c r="F469" s="1783"/>
      <c r="G469" s="149"/>
    </row>
    <row r="470" spans="1:7" customFormat="1">
      <c r="A470" s="260"/>
      <c r="B470" s="260"/>
      <c r="C470" s="314"/>
      <c r="D470" s="1783"/>
      <c r="E470" s="1783"/>
      <c r="F470" s="1783"/>
      <c r="G470" s="149"/>
    </row>
    <row r="471" spans="1:7" customFormat="1">
      <c r="A471" s="260"/>
      <c r="B471" s="260"/>
      <c r="C471" s="314"/>
      <c r="D471" s="1783"/>
      <c r="E471" s="1783"/>
      <c r="F471" s="1783"/>
      <c r="G471" s="149"/>
    </row>
    <row r="472" spans="1:7" customFormat="1">
      <c r="A472" s="260"/>
      <c r="B472" s="260"/>
      <c r="C472" s="314"/>
      <c r="D472" s="1783"/>
      <c r="E472" s="1783"/>
      <c r="F472" s="1783"/>
      <c r="G472" s="149"/>
    </row>
    <row r="473" spans="1:7" customFormat="1">
      <c r="A473" s="260"/>
      <c r="B473" s="260"/>
      <c r="C473" s="314"/>
      <c r="D473" s="1783"/>
      <c r="E473" s="1783"/>
      <c r="F473" s="1783"/>
      <c r="G473" s="149"/>
    </row>
    <row r="474" spans="1:7" customFormat="1">
      <c r="A474" s="260"/>
      <c r="B474" s="260"/>
      <c r="C474" s="314"/>
      <c r="D474" s="472"/>
      <c r="E474" s="149"/>
      <c r="F474" s="151"/>
      <c r="G474" s="149"/>
    </row>
    <row r="475" spans="1:7" customFormat="1" ht="14.65" customHeight="1">
      <c r="A475" s="261"/>
      <c r="B475" s="680" t="s">
        <v>318</v>
      </c>
      <c r="C475" s="314"/>
      <c r="D475" s="1823" t="s">
        <v>1207</v>
      </c>
      <c r="E475" s="1823"/>
      <c r="F475" s="1823"/>
      <c r="G475" s="149"/>
    </row>
    <row r="476" spans="1:7" customFormat="1">
      <c r="A476" s="260"/>
      <c r="B476" s="260"/>
      <c r="C476" s="314"/>
      <c r="D476" s="1823"/>
      <c r="E476" s="1823"/>
      <c r="F476" s="1823"/>
      <c r="G476" s="149"/>
    </row>
    <row r="477" spans="1:7" s="681" customFormat="1">
      <c r="A477" s="260"/>
      <c r="B477" s="260"/>
      <c r="C477" s="314"/>
      <c r="D477" s="1823"/>
      <c r="E477" s="1823"/>
      <c r="F477" s="1823"/>
      <c r="G477" s="149"/>
    </row>
    <row r="478" spans="1:7" s="681" customFormat="1">
      <c r="A478" s="260"/>
      <c r="B478" s="260"/>
      <c r="C478" s="314"/>
      <c r="D478" s="1823"/>
      <c r="E478" s="1823"/>
      <c r="F478" s="1823"/>
      <c r="G478" s="149"/>
    </row>
    <row r="479" spans="1:7" customFormat="1">
      <c r="A479" s="260"/>
      <c r="B479" s="260"/>
      <c r="C479" s="314"/>
      <c r="D479" s="1823"/>
      <c r="E479" s="1823"/>
      <c r="F479" s="1823"/>
      <c r="G479" s="149"/>
    </row>
    <row r="480" spans="1:7" customFormat="1">
      <c r="A480" s="260"/>
      <c r="B480" s="260"/>
      <c r="C480" s="314"/>
      <c r="D480" s="444"/>
      <c r="E480" s="149"/>
      <c r="F480" s="151"/>
      <c r="G480" s="149"/>
    </row>
    <row r="481" spans="1:7" customFormat="1" ht="14.65" customHeight="1">
      <c r="A481" s="261"/>
      <c r="B481" s="680" t="s">
        <v>318</v>
      </c>
      <c r="C481" s="314"/>
      <c r="D481" s="1823" t="s">
        <v>1210</v>
      </c>
      <c r="E481" s="1823"/>
      <c r="F481" s="1823"/>
      <c r="G481" s="149"/>
    </row>
    <row r="482" spans="1:7" customFormat="1">
      <c r="A482" s="260"/>
      <c r="B482" s="260"/>
      <c r="C482" s="314"/>
      <c r="D482" s="1823"/>
      <c r="E482" s="1823"/>
      <c r="F482" s="1823"/>
      <c r="G482" s="149"/>
    </row>
    <row r="483" spans="1:7" s="681" customFormat="1">
      <c r="A483" s="260"/>
      <c r="B483" s="260"/>
      <c r="C483" s="314"/>
      <c r="D483" s="1823"/>
      <c r="E483" s="1823"/>
      <c r="F483" s="1823"/>
      <c r="G483" s="149"/>
    </row>
    <row r="484" spans="1:7" customFormat="1">
      <c r="A484" s="260"/>
      <c r="B484" s="260"/>
      <c r="C484" s="314"/>
      <c r="D484" s="1823"/>
      <c r="E484" s="1823"/>
      <c r="F484" s="1823"/>
      <c r="G484" s="149"/>
    </row>
    <row r="485" spans="1:7" customFormat="1" ht="10.15" customHeight="1">
      <c r="A485" s="260"/>
      <c r="B485" s="260"/>
      <c r="C485" s="314"/>
      <c r="D485" s="444"/>
      <c r="E485" s="149"/>
      <c r="F485" s="151"/>
      <c r="G485" s="149"/>
    </row>
    <row r="486" spans="1:7" customFormat="1" ht="14.65" customHeight="1">
      <c r="A486" s="261"/>
      <c r="B486" s="680" t="s">
        <v>318</v>
      </c>
      <c r="C486" s="314"/>
      <c r="D486" s="1823" t="s">
        <v>1208</v>
      </c>
      <c r="E486" s="1823"/>
      <c r="F486" s="1823"/>
      <c r="G486" s="149"/>
    </row>
    <row r="487" spans="1:7" customFormat="1">
      <c r="A487" s="260"/>
      <c r="B487" s="260"/>
      <c r="C487" s="314"/>
      <c r="D487" s="1823"/>
      <c r="E487" s="1823"/>
      <c r="F487" s="1823"/>
      <c r="G487" s="149"/>
    </row>
    <row r="488" spans="1:7" customFormat="1">
      <c r="A488" s="260"/>
      <c r="B488" s="260"/>
      <c r="C488" s="314"/>
      <c r="D488" s="1823"/>
      <c r="E488" s="1823"/>
      <c r="F488" s="1823"/>
      <c r="G488" s="149"/>
    </row>
    <row r="489" spans="1:7" s="681" customFormat="1">
      <c r="A489" s="260"/>
      <c r="B489" s="260"/>
      <c r="C489" s="314"/>
      <c r="D489" s="701"/>
      <c r="E489" s="701"/>
      <c r="F489" s="701"/>
      <c r="G489" s="149"/>
    </row>
    <row r="490" spans="1:7" customFormat="1" ht="14.65" customHeight="1">
      <c r="A490" s="261"/>
      <c r="B490" s="680" t="s">
        <v>318</v>
      </c>
      <c r="C490" s="314"/>
      <c r="D490" s="1823" t="s">
        <v>1209</v>
      </c>
      <c r="E490" s="1823"/>
      <c r="F490" s="1823"/>
      <c r="G490" s="149"/>
    </row>
    <row r="491" spans="1:7" customFormat="1">
      <c r="A491" s="260"/>
      <c r="B491" s="260"/>
      <c r="C491" s="314"/>
      <c r="D491" s="1823"/>
      <c r="E491" s="1823"/>
      <c r="F491" s="1823"/>
      <c r="G491" s="149"/>
    </row>
    <row r="492" spans="1:7" customFormat="1">
      <c r="A492" s="260"/>
      <c r="B492" s="260"/>
      <c r="C492" s="314"/>
      <c r="D492" s="1823"/>
      <c r="E492" s="1823"/>
      <c r="F492" s="1823"/>
      <c r="G492" s="149"/>
    </row>
    <row r="493" spans="1:7" customFormat="1">
      <c r="A493" s="260"/>
      <c r="B493" s="260"/>
      <c r="C493" s="314"/>
      <c r="D493" s="1823"/>
      <c r="E493" s="1823"/>
      <c r="F493" s="1823"/>
      <c r="G493" s="149"/>
    </row>
    <row r="494" spans="1:7" customFormat="1">
      <c r="A494" s="260"/>
      <c r="B494" s="260"/>
      <c r="C494" s="314"/>
      <c r="D494" s="1823"/>
      <c r="E494" s="1823"/>
      <c r="F494" s="1823"/>
      <c r="G494" s="149"/>
    </row>
    <row r="495" spans="1:7" customFormat="1">
      <c r="A495" s="260"/>
      <c r="B495" s="260"/>
      <c r="C495" s="314"/>
      <c r="D495" s="1823"/>
      <c r="E495" s="1823"/>
      <c r="F495" s="1823"/>
      <c r="G495" s="149"/>
    </row>
    <row r="496" spans="1:7" customFormat="1">
      <c r="A496" s="260"/>
      <c r="B496" s="260"/>
      <c r="C496" s="314"/>
      <c r="D496" s="1823"/>
      <c r="E496" s="1823"/>
      <c r="F496" s="1823"/>
      <c r="G496" s="149"/>
    </row>
    <row r="497" spans="1:7" customFormat="1">
      <c r="A497" s="488"/>
      <c r="B497" s="488"/>
      <c r="C497" s="487"/>
      <c r="D497" s="1823"/>
      <c r="E497" s="1823"/>
      <c r="F497" s="1823"/>
      <c r="G497" s="149"/>
    </row>
    <row r="498" spans="1:7" customFormat="1">
      <c r="A498" s="488"/>
      <c r="B498" s="488"/>
      <c r="C498" s="487"/>
      <c r="D498" s="1823"/>
      <c r="E498" s="1823"/>
      <c r="F498" s="1823"/>
      <c r="G498" s="149"/>
    </row>
    <row r="499" spans="1:7" customFormat="1">
      <c r="A499" s="488"/>
      <c r="B499" s="488"/>
      <c r="C499" s="487"/>
      <c r="D499" s="444"/>
      <c r="E499" s="149"/>
      <c r="F499" s="151"/>
      <c r="G499" s="149"/>
    </row>
    <row r="500" spans="1:7" customFormat="1" ht="13.15" customHeight="1">
      <c r="A500" s="488"/>
      <c r="B500" s="680" t="s">
        <v>318</v>
      </c>
      <c r="C500" s="487"/>
      <c r="D500" s="1773" t="s">
        <v>1353</v>
      </c>
      <c r="E500" s="1773"/>
      <c r="F500" s="1773"/>
      <c r="G500" s="149"/>
    </row>
    <row r="501" spans="1:7" customFormat="1">
      <c r="A501" s="488"/>
      <c r="B501" s="488"/>
      <c r="C501" s="487"/>
      <c r="D501" s="1773"/>
      <c r="E501" s="1773"/>
      <c r="F501" s="1773"/>
      <c r="G501" s="149"/>
    </row>
    <row r="502" spans="1:7" customFormat="1">
      <c r="A502" s="488"/>
      <c r="B502" s="488"/>
      <c r="C502" s="487"/>
      <c r="D502" s="1773"/>
      <c r="E502" s="1773"/>
      <c r="F502" s="1773"/>
      <c r="G502" s="149"/>
    </row>
    <row r="503" spans="1:7" customFormat="1">
      <c r="A503" s="488"/>
      <c r="B503" s="488"/>
      <c r="C503" s="487"/>
      <c r="D503" s="1773"/>
      <c r="E503" s="1773"/>
      <c r="F503" s="1773"/>
      <c r="G503" s="149"/>
    </row>
    <row r="504" spans="1:7" customFormat="1">
      <c r="A504" s="260"/>
      <c r="B504" s="260"/>
      <c r="C504" s="314"/>
      <c r="D504" s="1773"/>
      <c r="E504" s="1773"/>
      <c r="F504" s="1773"/>
      <c r="G504" s="149"/>
    </row>
    <row r="505" spans="1:7" s="718" customFormat="1">
      <c r="A505" s="721"/>
      <c r="B505" s="721"/>
      <c r="C505" s="314"/>
      <c r="D505" s="742"/>
      <c r="E505" s="742"/>
      <c r="F505" s="742"/>
      <c r="G505" s="149"/>
    </row>
    <row r="506" spans="1:7" customFormat="1" ht="14.65" customHeight="1">
      <c r="A506" s="261"/>
      <c r="B506" s="680" t="s">
        <v>318</v>
      </c>
      <c r="C506" s="10"/>
      <c r="D506" s="1823" t="s">
        <v>1211</v>
      </c>
      <c r="E506" s="1823"/>
      <c r="F506" s="1823"/>
      <c r="G506" s="149"/>
    </row>
    <row r="507" spans="1:7" customFormat="1">
      <c r="A507" s="132"/>
      <c r="B507" s="677"/>
      <c r="C507" s="10"/>
      <c r="D507" s="1823"/>
      <c r="E507" s="1823"/>
      <c r="F507" s="1823"/>
      <c r="G507" s="149"/>
    </row>
    <row r="508" spans="1:7" customFormat="1">
      <c r="A508" s="132"/>
      <c r="B508" s="677"/>
      <c r="C508" s="10"/>
      <c r="D508" s="1823"/>
      <c r="E508" s="1823"/>
      <c r="F508" s="1823"/>
      <c r="G508" s="149"/>
    </row>
    <row r="509" spans="1:7" customFormat="1" ht="12" customHeight="1">
      <c r="A509" s="135"/>
      <c r="B509" s="135"/>
      <c r="C509" s="316"/>
      <c r="D509" s="135"/>
      <c r="E509" s="149"/>
      <c r="F509" s="315"/>
      <c r="G509" s="149"/>
    </row>
    <row r="510" spans="1:7">
      <c r="A510" s="1781" t="s">
        <v>1174</v>
      </c>
      <c r="B510" s="1781"/>
      <c r="C510" s="1781"/>
      <c r="D510" s="1781"/>
      <c r="E510" s="1781"/>
      <c r="F510" s="1781"/>
      <c r="G510" s="1781"/>
    </row>
    <row r="511" spans="1:7">
      <c r="A511" s="135"/>
      <c r="B511" s="135"/>
      <c r="C511" s="266"/>
      <c r="F511" s="134"/>
    </row>
    <row r="512" spans="1:7">
      <c r="B512" s="1809" t="s">
        <v>472</v>
      </c>
      <c r="C512" s="1809"/>
      <c r="D512" s="1809"/>
      <c r="E512" s="1809"/>
      <c r="F512" s="1809"/>
    </row>
    <row r="513" spans="1:7">
      <c r="A513" s="135"/>
      <c r="B513" s="135"/>
      <c r="C513" s="266"/>
      <c r="D513" s="135"/>
      <c r="F513" s="135"/>
    </row>
    <row r="514" spans="1:7">
      <c r="A514" s="1831" t="s">
        <v>1175</v>
      </c>
      <c r="B514" s="1831"/>
      <c r="C514" s="1831"/>
      <c r="D514" s="1831"/>
      <c r="E514" s="1831"/>
      <c r="F514" s="1831"/>
      <c r="G514" s="1831"/>
    </row>
    <row r="515" spans="1:7">
      <c r="A515" s="135"/>
      <c r="B515" s="135"/>
      <c r="C515" s="266"/>
      <c r="D515" s="135"/>
      <c r="F515" s="135"/>
    </row>
    <row r="516" spans="1:7">
      <c r="C516" s="266"/>
      <c r="D516" s="1784" t="s">
        <v>722</v>
      </c>
      <c r="E516" s="1784"/>
      <c r="F516" s="1784"/>
    </row>
    <row r="517" spans="1:7" s="683" customFormat="1">
      <c r="A517" s="700"/>
      <c r="B517" s="700"/>
      <c r="C517" s="266"/>
      <c r="D517" s="1774" t="s">
        <v>1232</v>
      </c>
      <c r="E517" s="1774"/>
      <c r="F517" s="1774"/>
      <c r="G517" s="7"/>
    </row>
    <row r="518" spans="1:7" s="683" customFormat="1">
      <c r="A518" s="700"/>
      <c r="B518" s="700"/>
      <c r="C518" s="266"/>
      <c r="D518" s="705"/>
      <c r="E518" s="705"/>
      <c r="F518" s="705"/>
      <c r="G518" s="7"/>
    </row>
    <row r="519" spans="1:7" ht="13.15" customHeight="1">
      <c r="A519" s="261"/>
      <c r="B519" s="680" t="s">
        <v>318</v>
      </c>
      <c r="C519" s="266"/>
      <c r="D519" s="1774" t="s">
        <v>953</v>
      </c>
      <c r="E519" s="1774"/>
      <c r="F519" s="1774"/>
      <c r="G519" s="12"/>
    </row>
    <row r="520" spans="1:7" ht="13.15" customHeight="1">
      <c r="A520" s="266"/>
      <c r="B520" s="266"/>
      <c r="C520" s="266"/>
      <c r="D520" s="705"/>
      <c r="E520" s="678"/>
      <c r="F520" s="678"/>
      <c r="G520" s="12"/>
    </row>
    <row r="521" spans="1:7" ht="14.25">
      <c r="A521" s="261"/>
      <c r="B521" s="680" t="s">
        <v>318</v>
      </c>
      <c r="C521" s="266"/>
      <c r="D521" s="1761" t="s">
        <v>1233</v>
      </c>
      <c r="E521" s="1761"/>
      <c r="F521" s="1761"/>
      <c r="G521" s="12"/>
    </row>
    <row r="522" spans="1:7">
      <c r="A522" s="266"/>
      <c r="B522" s="266"/>
      <c r="C522" s="266"/>
      <c r="D522" s="1761"/>
      <c r="E522" s="1761"/>
      <c r="F522" s="1761"/>
      <c r="G522" s="12"/>
    </row>
    <row r="523" spans="1:7">
      <c r="A523" s="266"/>
      <c r="B523" s="266"/>
      <c r="C523" s="266"/>
      <c r="D523" s="135"/>
      <c r="E523" s="135"/>
      <c r="F523" s="135"/>
      <c r="G523" s="12"/>
    </row>
    <row r="524" spans="1:7" ht="14.25">
      <c r="A524" s="261"/>
      <c r="B524" s="680" t="s">
        <v>318</v>
      </c>
      <c r="C524" s="266"/>
      <c r="D524" s="1761" t="s">
        <v>1234</v>
      </c>
      <c r="E524" s="1761"/>
      <c r="F524" s="1761"/>
      <c r="G524" s="12"/>
    </row>
    <row r="525" spans="1:7">
      <c r="A525" s="266"/>
      <c r="B525" s="266"/>
      <c r="C525" s="266"/>
      <c r="D525" s="1761"/>
      <c r="E525" s="1761"/>
      <c r="F525" s="1761"/>
      <c r="G525" s="12"/>
    </row>
    <row r="526" spans="1:7">
      <c r="A526" s="266"/>
      <c r="B526" s="266"/>
      <c r="C526" s="266"/>
      <c r="D526" s="135"/>
      <c r="E526" s="135"/>
      <c r="F526" s="135"/>
      <c r="G526" s="12"/>
    </row>
    <row r="527" spans="1:7" ht="14.25">
      <c r="A527" s="261"/>
      <c r="B527" s="680" t="s">
        <v>318</v>
      </c>
      <c r="C527" s="266"/>
      <c r="D527" s="1761" t="s">
        <v>1235</v>
      </c>
      <c r="E527" s="1761"/>
      <c r="F527" s="1761"/>
      <c r="G527" s="12"/>
    </row>
    <row r="528" spans="1:7">
      <c r="A528" s="266"/>
      <c r="B528" s="266"/>
      <c r="C528" s="266"/>
      <c r="D528" s="1761"/>
      <c r="E528" s="1761"/>
      <c r="F528" s="1761"/>
      <c r="G528" s="12"/>
    </row>
    <row r="529" spans="1:7">
      <c r="A529" s="266"/>
      <c r="B529" s="266"/>
      <c r="C529" s="266"/>
      <c r="D529" s="135"/>
      <c r="E529" s="135"/>
      <c r="F529" s="135"/>
      <c r="G529" s="12"/>
    </row>
    <row r="530" spans="1:7" ht="14.25">
      <c r="A530" s="261"/>
      <c r="B530" s="680" t="s">
        <v>318</v>
      </c>
      <c r="C530" s="266"/>
      <c r="D530" s="1761" t="s">
        <v>1236</v>
      </c>
      <c r="E530" s="1761"/>
      <c r="F530" s="1761"/>
      <c r="G530" s="12"/>
    </row>
    <row r="531" spans="1:7">
      <c r="A531" s="266"/>
      <c r="B531" s="266"/>
      <c r="C531" s="266"/>
      <c r="D531" s="1761"/>
      <c r="E531" s="1761"/>
      <c r="F531" s="1761"/>
      <c r="G531" s="12"/>
    </row>
    <row r="532" spans="1:7">
      <c r="A532" s="266"/>
      <c r="B532" s="266"/>
      <c r="C532" s="266"/>
      <c r="D532" s="1761"/>
      <c r="E532" s="1761"/>
      <c r="F532" s="1761"/>
      <c r="G532" s="12"/>
    </row>
    <row r="533" spans="1:7">
      <c r="A533" s="266"/>
      <c r="B533" s="266"/>
      <c r="C533" s="266"/>
      <c r="D533" s="135"/>
      <c r="E533" s="135"/>
      <c r="F533" s="135"/>
    </row>
    <row r="534" spans="1:7" ht="14.25">
      <c r="A534" s="261"/>
      <c r="B534" s="680" t="s">
        <v>318</v>
      </c>
      <c r="C534" s="266"/>
      <c r="D534" s="1796" t="s">
        <v>1354</v>
      </c>
      <c r="E534" s="1796"/>
      <c r="F534" s="1796"/>
    </row>
    <row r="535" spans="1:7">
      <c r="A535" s="266"/>
      <c r="B535" s="266"/>
      <c r="C535" s="266"/>
      <c r="D535" s="1796"/>
      <c r="E535" s="1796"/>
      <c r="F535" s="1796"/>
    </row>
    <row r="536" spans="1:7">
      <c r="A536" s="266"/>
      <c r="B536" s="266"/>
      <c r="C536" s="266"/>
      <c r="D536" s="135"/>
      <c r="E536" s="135"/>
      <c r="F536" s="135"/>
    </row>
    <row r="537" spans="1:7" ht="14.25">
      <c r="A537" s="261"/>
      <c r="B537" s="680" t="s">
        <v>318</v>
      </c>
      <c r="C537" s="266"/>
      <c r="D537" s="1796" t="s">
        <v>1237</v>
      </c>
      <c r="E537" s="1796"/>
      <c r="F537" s="1796"/>
    </row>
    <row r="538" spans="1:7">
      <c r="A538" s="266"/>
      <c r="B538" s="266"/>
      <c r="C538" s="266"/>
      <c r="D538" s="1796"/>
      <c r="E538" s="1796"/>
      <c r="F538" s="1796"/>
    </row>
    <row r="539" spans="1:7">
      <c r="A539" s="266"/>
      <c r="B539" s="266"/>
      <c r="C539" s="266"/>
      <c r="D539" s="135"/>
      <c r="E539" s="135"/>
      <c r="F539" s="135"/>
    </row>
    <row r="540" spans="1:7" ht="14.25">
      <c r="A540" s="261"/>
      <c r="B540" s="680" t="s">
        <v>318</v>
      </c>
      <c r="C540" s="266"/>
      <c r="D540" s="1761" t="s">
        <v>1238</v>
      </c>
      <c r="E540" s="1761"/>
      <c r="F540" s="1761"/>
    </row>
    <row r="541" spans="1:7">
      <c r="A541" s="266"/>
      <c r="B541" s="266"/>
      <c r="C541" s="266"/>
      <c r="D541" s="1761"/>
      <c r="E541" s="1761"/>
      <c r="F541" s="1761"/>
      <c r="G541" s="57"/>
    </row>
    <row r="542" spans="1:7">
      <c r="A542" s="266"/>
      <c r="B542" s="266"/>
      <c r="C542" s="266"/>
      <c r="D542" s="135"/>
      <c r="E542" s="135"/>
      <c r="F542" s="135"/>
      <c r="G542" s="57"/>
    </row>
    <row r="543" spans="1:7" ht="14.25">
      <c r="A543" s="261"/>
      <c r="B543" s="680" t="s">
        <v>318</v>
      </c>
      <c r="C543" s="266"/>
      <c r="D543" s="1774" t="s">
        <v>1239</v>
      </c>
      <c r="E543" s="1774"/>
      <c r="F543" s="1774"/>
      <c r="G543" s="57"/>
    </row>
    <row r="544" spans="1:7">
      <c r="A544" s="23"/>
      <c r="B544" s="676"/>
      <c r="C544" s="266"/>
      <c r="D544" s="1774" t="s">
        <v>885</v>
      </c>
      <c r="E544" s="1774"/>
      <c r="F544" s="1774"/>
      <c r="G544" s="57"/>
    </row>
    <row r="545" spans="1:7">
      <c r="A545" s="23"/>
      <c r="B545" s="676"/>
      <c r="C545" s="266"/>
      <c r="D545" s="6"/>
      <c r="E545" s="1792" t="s">
        <v>1240</v>
      </c>
      <c r="F545" s="1792"/>
      <c r="G545" s="57"/>
    </row>
    <row r="546" spans="1:7" ht="14.25">
      <c r="A546" s="261"/>
      <c r="B546" s="261"/>
      <c r="C546" s="266"/>
      <c r="E546" s="135"/>
      <c r="F546" s="135"/>
      <c r="G546" s="57"/>
    </row>
    <row r="547" spans="1:7" ht="14.25">
      <c r="A547" s="261"/>
      <c r="B547" s="680" t="s">
        <v>318</v>
      </c>
      <c r="C547" s="266"/>
      <c r="D547" s="1836" t="s">
        <v>1241</v>
      </c>
      <c r="E547" s="1836"/>
      <c r="F547" s="1836"/>
      <c r="G547" s="57"/>
    </row>
    <row r="548" spans="1:7">
      <c r="C548" s="266"/>
      <c r="D548" s="1761" t="s">
        <v>1242</v>
      </c>
      <c r="E548" s="1761"/>
      <c r="F548" s="1761"/>
      <c r="G548" s="57"/>
    </row>
    <row r="549" spans="1:7">
      <c r="A549" s="266"/>
      <c r="B549" s="266"/>
      <c r="C549" s="266"/>
      <c r="D549" s="1761"/>
      <c r="E549" s="1761"/>
      <c r="F549" s="1761"/>
      <c r="G549" s="57"/>
    </row>
    <row r="550" spans="1:7">
      <c r="A550" s="266"/>
      <c r="B550" s="266"/>
      <c r="C550" s="266"/>
      <c r="D550" s="1761"/>
      <c r="E550" s="1761"/>
      <c r="F550" s="1761"/>
      <c r="G550" s="57"/>
    </row>
    <row r="551" spans="1:7">
      <c r="A551" s="266"/>
      <c r="B551" s="266"/>
      <c r="C551" s="266"/>
      <c r="D551" s="135"/>
      <c r="E551" s="135"/>
      <c r="F551" s="135"/>
      <c r="G551" s="57"/>
    </row>
    <row r="552" spans="1:7" ht="14.25">
      <c r="A552" s="261"/>
      <c r="B552" s="680" t="s">
        <v>318</v>
      </c>
      <c r="C552" s="266"/>
      <c r="D552" s="1761" t="s">
        <v>1243</v>
      </c>
      <c r="E552" s="1761"/>
      <c r="F552" s="1761"/>
      <c r="G552" s="57"/>
    </row>
    <row r="553" spans="1:7" ht="14.25">
      <c r="A553" s="261"/>
      <c r="B553" s="261"/>
      <c r="C553" s="266"/>
      <c r="D553" s="1761"/>
      <c r="E553" s="1761"/>
      <c r="F553" s="1761"/>
      <c r="G553" s="57"/>
    </row>
    <row r="554" spans="1:7" ht="14.25">
      <c r="A554" s="261"/>
      <c r="B554" s="261"/>
      <c r="C554" s="266"/>
      <c r="D554" s="1761"/>
      <c r="E554" s="1761"/>
      <c r="F554" s="1761"/>
      <c r="G554" s="57"/>
    </row>
    <row r="555" spans="1:7" ht="14.25">
      <c r="A555" s="261"/>
      <c r="B555" s="261"/>
      <c r="C555" s="266"/>
      <c r="D555" s="1761"/>
      <c r="E555" s="1761"/>
      <c r="F555" s="1761"/>
      <c r="G555" s="57"/>
    </row>
    <row r="556" spans="1:7" ht="14.25">
      <c r="A556" s="261"/>
      <c r="B556" s="261"/>
      <c r="C556" s="266"/>
      <c r="D556" s="135"/>
      <c r="E556" s="135"/>
      <c r="F556" s="135"/>
      <c r="G556" s="57"/>
    </row>
    <row r="557" spans="1:7">
      <c r="A557" s="1781" t="s">
        <v>1176</v>
      </c>
      <c r="B557" s="1781"/>
      <c r="C557" s="1781"/>
      <c r="D557" s="1781"/>
      <c r="E557" s="1781"/>
      <c r="F557" s="1781"/>
      <c r="G557" s="1781"/>
    </row>
    <row r="558" spans="1:7">
      <c r="A558" s="266"/>
      <c r="B558" s="266"/>
      <c r="C558" s="266"/>
      <c r="E558" s="135"/>
      <c r="F558" s="135"/>
      <c r="G558" s="57"/>
    </row>
    <row r="559" spans="1:7" ht="12.75" customHeight="1">
      <c r="C559" s="255"/>
      <c r="D559" s="1810" t="s">
        <v>217</v>
      </c>
      <c r="E559" s="1810"/>
      <c r="F559" s="1810"/>
      <c r="G559" s="57"/>
    </row>
    <row r="560" spans="1:7">
      <c r="A560" s="260"/>
      <c r="B560" s="260"/>
      <c r="C560" s="260"/>
      <c r="D560" s="1804" t="s">
        <v>1192</v>
      </c>
      <c r="E560" s="1804"/>
      <c r="F560" s="1804"/>
      <c r="G560" s="57"/>
    </row>
    <row r="561" spans="1:7">
      <c r="A561" s="12"/>
      <c r="B561" s="12"/>
      <c r="C561" s="260"/>
      <c r="D561" s="378"/>
      <c r="G561" s="57"/>
    </row>
    <row r="562" spans="1:7">
      <c r="A562" s="260"/>
      <c r="B562" s="680" t="s">
        <v>318</v>
      </c>
      <c r="D562" s="1804" t="s">
        <v>959</v>
      </c>
      <c r="E562" s="1804"/>
      <c r="F562" s="1804"/>
      <c r="G562" s="57"/>
    </row>
    <row r="563" spans="1:7">
      <c r="A563" s="23"/>
      <c r="B563" s="676"/>
      <c r="D563" s="326"/>
    </row>
    <row r="564" spans="1:7">
      <c r="A564" s="23"/>
      <c r="B564" s="680" t="s">
        <v>318</v>
      </c>
      <c r="D564" s="1780" t="s">
        <v>1193</v>
      </c>
      <c r="E564" s="1780"/>
      <c r="F564" s="1780"/>
    </row>
    <row r="565" spans="1:7">
      <c r="A565" s="23"/>
      <c r="B565" s="676"/>
      <c r="D565" s="1780"/>
      <c r="E565" s="1780"/>
      <c r="F565" s="1780"/>
    </row>
    <row r="566" spans="1:7">
      <c r="A566" s="23"/>
      <c r="B566" s="689"/>
      <c r="D566" s="1780"/>
      <c r="E566" s="1780"/>
      <c r="F566" s="1780"/>
    </row>
    <row r="567" spans="1:7">
      <c r="A567" s="23"/>
      <c r="B567" s="676"/>
      <c r="D567" s="479"/>
    </row>
    <row r="568" spans="1:7" s="683" customFormat="1">
      <c r="A568" s="689"/>
      <c r="B568" s="680" t="s">
        <v>318</v>
      </c>
      <c r="C568" s="690"/>
      <c r="D568" s="1780" t="s">
        <v>1194</v>
      </c>
      <c r="E568" s="1780"/>
      <c r="F568" s="1780"/>
      <c r="G568" s="7"/>
    </row>
    <row r="569" spans="1:7" s="683" customFormat="1">
      <c r="A569" s="689"/>
      <c r="B569" s="689"/>
      <c r="C569" s="690"/>
      <c r="D569" s="1780"/>
      <c r="E569" s="1780"/>
      <c r="F569" s="1780"/>
      <c r="G569" s="7"/>
    </row>
    <row r="570" spans="1:7" s="683" customFormat="1">
      <c r="A570" s="689"/>
      <c r="B570" s="689"/>
      <c r="C570" s="690"/>
      <c r="D570" s="1780"/>
      <c r="E570" s="1780"/>
      <c r="F570" s="1780"/>
      <c r="G570" s="7"/>
    </row>
    <row r="571" spans="1:7" s="683" customFormat="1">
      <c r="A571" s="689"/>
      <c r="B571" s="689"/>
      <c r="C571" s="690"/>
      <c r="D571" s="1780"/>
      <c r="E571" s="1780"/>
      <c r="F571" s="1780"/>
      <c r="G571" s="7"/>
    </row>
    <row r="572" spans="1:7" s="683" customFormat="1">
      <c r="A572" s="689"/>
      <c r="B572" s="689"/>
      <c r="C572" s="690"/>
      <c r="D572" s="695"/>
      <c r="E572" s="695"/>
      <c r="F572" s="695"/>
      <c r="G572" s="7"/>
    </row>
    <row r="573" spans="1:7">
      <c r="A573" s="23"/>
      <c r="B573" s="680" t="s">
        <v>318</v>
      </c>
      <c r="D573" s="1780" t="s">
        <v>1195</v>
      </c>
      <c r="E573" s="1780"/>
      <c r="F573" s="1780"/>
    </row>
    <row r="574" spans="1:7">
      <c r="A574" s="23"/>
      <c r="B574" s="676"/>
      <c r="D574" s="1780"/>
      <c r="E574" s="1780"/>
      <c r="F574" s="1780"/>
    </row>
    <row r="575" spans="1:7">
      <c r="A575" s="23"/>
      <c r="B575" s="676"/>
      <c r="D575" s="378"/>
    </row>
    <row r="576" spans="1:7" s="683" customFormat="1">
      <c r="A576" s="689"/>
      <c r="B576" s="680" t="s">
        <v>318</v>
      </c>
      <c r="C576" s="690"/>
      <c r="D576" s="1804" t="s">
        <v>1196</v>
      </c>
      <c r="E576" s="1804"/>
      <c r="F576" s="1804"/>
      <c r="G576" s="7"/>
    </row>
    <row r="577" spans="1:7" s="683" customFormat="1">
      <c r="A577" s="689"/>
      <c r="B577" s="689"/>
      <c r="C577" s="690"/>
      <c r="D577" s="1804"/>
      <c r="E577" s="1804"/>
      <c r="F577" s="1804"/>
      <c r="G577" s="7"/>
    </row>
    <row r="578" spans="1:7" s="683" customFormat="1">
      <c r="A578" s="689"/>
      <c r="B578" s="689"/>
      <c r="C578" s="690"/>
      <c r="D578" s="378"/>
      <c r="E578" s="7"/>
      <c r="F578" s="7"/>
      <c r="G578" s="7"/>
    </row>
    <row r="579" spans="1:7" ht="14.25">
      <c r="A579" s="261"/>
      <c r="B579" s="680" t="s">
        <v>318</v>
      </c>
      <c r="D579" s="1804" t="s">
        <v>954</v>
      </c>
      <c r="E579" s="1804"/>
      <c r="F579" s="1804"/>
    </row>
    <row r="580" spans="1:7" ht="14.25">
      <c r="A580" s="261"/>
      <c r="B580" s="261"/>
      <c r="D580" s="378"/>
    </row>
    <row r="581" spans="1:7" ht="14.25">
      <c r="A581" s="261"/>
      <c r="B581" s="680" t="s">
        <v>318</v>
      </c>
      <c r="D581" s="1804" t="s">
        <v>1197</v>
      </c>
      <c r="E581" s="1804"/>
      <c r="F581" s="1804"/>
    </row>
    <row r="582" spans="1:7" ht="14.25">
      <c r="A582" s="261"/>
      <c r="B582" s="261"/>
      <c r="D582" s="1804"/>
      <c r="E582" s="1804"/>
      <c r="F582" s="1804"/>
    </row>
    <row r="583" spans="1:7">
      <c r="D583" s="1804"/>
      <c r="E583" s="1804"/>
      <c r="F583" s="1804"/>
    </row>
    <row r="584" spans="1:7">
      <c r="D584" s="1804"/>
      <c r="E584" s="1804"/>
      <c r="F584" s="1804"/>
    </row>
    <row r="585" spans="1:7" s="683" customFormat="1">
      <c r="A585" s="690"/>
      <c r="B585" s="690"/>
      <c r="C585" s="690"/>
      <c r="D585" s="1804"/>
      <c r="E585" s="1804"/>
      <c r="F585" s="1804"/>
      <c r="G585" s="7"/>
    </row>
    <row r="586" spans="1:7" s="683" customFormat="1">
      <c r="A586" s="690"/>
      <c r="B586" s="690"/>
      <c r="C586" s="690"/>
      <c r="D586" s="1804"/>
      <c r="E586" s="1804"/>
      <c r="F586" s="1804"/>
      <c r="G586" s="7"/>
    </row>
    <row r="587" spans="1:7"/>
    <row r="588" spans="1:7">
      <c r="A588" s="1781" t="s">
        <v>1177</v>
      </c>
      <c r="B588" s="1781"/>
      <c r="C588" s="1781"/>
      <c r="D588" s="1781"/>
      <c r="E588" s="1781"/>
      <c r="F588" s="1781"/>
      <c r="G588" s="1781"/>
    </row>
    <row r="589" spans="1:7"/>
    <row r="590" spans="1:7">
      <c r="D590" s="1798" t="s">
        <v>1277</v>
      </c>
      <c r="E590" s="1798"/>
      <c r="F590" s="1798"/>
    </row>
    <row r="591" spans="1:7">
      <c r="D591" s="1837" t="s">
        <v>1278</v>
      </c>
      <c r="E591" s="1837"/>
      <c r="F591" s="1837"/>
    </row>
    <row r="592" spans="1:7" s="720" customFormat="1">
      <c r="A592" s="706"/>
      <c r="B592" s="706"/>
      <c r="C592" s="706"/>
      <c r="D592" s="724"/>
      <c r="E592" s="723"/>
      <c r="F592" s="723"/>
      <c r="G592" s="7"/>
    </row>
    <row r="593" spans="1:7" s="39" customFormat="1" ht="14.25">
      <c r="A593" s="404"/>
      <c r="B593" s="680" t="s">
        <v>318</v>
      </c>
      <c r="C593" s="273"/>
      <c r="D593" s="1800" t="s">
        <v>1279</v>
      </c>
      <c r="E593" s="1800"/>
      <c r="F593" s="1800"/>
      <c r="G593" s="130"/>
    </row>
    <row r="594" spans="1:7">
      <c r="D594" s="1800"/>
      <c r="E594" s="1800"/>
      <c r="F594" s="1800"/>
    </row>
    <row r="595" spans="1:7">
      <c r="D595" s="1800"/>
      <c r="E595" s="1800"/>
      <c r="F595" s="1800"/>
    </row>
    <row r="596" spans="1:7"/>
    <row r="597" spans="1:7">
      <c r="A597" s="1781" t="s">
        <v>1178</v>
      </c>
      <c r="B597" s="1781"/>
      <c r="C597" s="1781"/>
      <c r="D597" s="1781"/>
      <c r="E597" s="1781"/>
      <c r="F597" s="1781"/>
      <c r="G597" s="1781"/>
    </row>
    <row r="598" spans="1:7">
      <c r="A598" s="135"/>
      <c r="B598" s="135"/>
      <c r="G598" s="57"/>
    </row>
    <row r="599" spans="1:7">
      <c r="A599" s="257"/>
      <c r="B599" s="675"/>
      <c r="C599" s="255"/>
      <c r="D599" s="1838" t="s">
        <v>1280</v>
      </c>
      <c r="E599" s="1838"/>
      <c r="F599" s="1838"/>
      <c r="G599" s="57"/>
    </row>
    <row r="600" spans="1:7">
      <c r="A600" s="257"/>
      <c r="B600" s="675"/>
      <c r="C600" s="255"/>
      <c r="D600" s="1838"/>
      <c r="E600" s="1838"/>
      <c r="F600" s="1838"/>
      <c r="G600" s="57"/>
    </row>
    <row r="601" spans="1:7">
      <c r="C601" s="260"/>
      <c r="D601" s="1837" t="s">
        <v>1281</v>
      </c>
      <c r="E601" s="1837"/>
      <c r="F601" s="1837"/>
      <c r="G601" s="57"/>
    </row>
    <row r="602" spans="1:7" s="720" customFormat="1">
      <c r="A602" s="706"/>
      <c r="B602" s="706"/>
      <c r="C602" s="721"/>
      <c r="D602" s="725"/>
      <c r="E602" s="725"/>
      <c r="F602" s="725"/>
      <c r="G602" s="57"/>
    </row>
    <row r="603" spans="1:7">
      <c r="A603" s="23"/>
      <c r="B603" s="680" t="s">
        <v>318</v>
      </c>
      <c r="D603" s="1837" t="s">
        <v>455</v>
      </c>
      <c r="E603" s="1837"/>
      <c r="F603" s="1837"/>
      <c r="G603" s="57"/>
    </row>
    <row r="604" spans="1:7">
      <c r="C604" s="268"/>
      <c r="E604" s="12"/>
      <c r="G604" s="57"/>
    </row>
    <row r="605" spans="1:7">
      <c r="A605" s="23"/>
      <c r="B605" s="680" t="s">
        <v>318</v>
      </c>
      <c r="D605" s="1797" t="s">
        <v>1282</v>
      </c>
      <c r="E605" s="1797"/>
      <c r="F605" s="1797"/>
      <c r="G605" s="57"/>
    </row>
    <row r="606" spans="1:7">
      <c r="D606" s="1797"/>
      <c r="E606" s="1797"/>
      <c r="F606" s="1797"/>
      <c r="G606" s="57"/>
    </row>
    <row r="607" spans="1:7">
      <c r="D607" s="12"/>
      <c r="G607" s="57"/>
    </row>
    <row r="608" spans="1:7">
      <c r="B608" s="680" t="s">
        <v>318</v>
      </c>
      <c r="D608" s="1797" t="s">
        <v>1283</v>
      </c>
      <c r="E608" s="1797"/>
      <c r="F608" s="1797"/>
      <c r="G608" s="57"/>
    </row>
    <row r="609" spans="1:7">
      <c r="C609" s="268"/>
      <c r="D609" s="1797"/>
      <c r="E609" s="1797"/>
      <c r="F609" s="1797"/>
      <c r="G609" s="57"/>
    </row>
    <row r="610" spans="1:7">
      <c r="C610" s="268"/>
      <c r="G610" s="57"/>
    </row>
    <row r="611" spans="1:7">
      <c r="B611" s="680" t="s">
        <v>318</v>
      </c>
      <c r="C611" s="268"/>
      <c r="D611" s="1797" t="s">
        <v>1284</v>
      </c>
      <c r="E611" s="1797"/>
      <c r="F611" s="1797"/>
      <c r="G611" s="57"/>
    </row>
    <row r="612" spans="1:7">
      <c r="C612" s="268"/>
      <c r="D612" s="1797"/>
      <c r="E612" s="1797"/>
      <c r="F612" s="1797"/>
      <c r="G612" s="57"/>
    </row>
    <row r="613" spans="1:7">
      <c r="C613" s="268"/>
      <c r="G613" s="57"/>
    </row>
    <row r="614" spans="1:7">
      <c r="A614" s="1781" t="s">
        <v>1179</v>
      </c>
      <c r="B614" s="1781"/>
      <c r="C614" s="1781"/>
      <c r="D614" s="1781"/>
      <c r="E614" s="1781"/>
      <c r="F614" s="1781"/>
      <c r="G614" s="1781"/>
    </row>
    <row r="615" spans="1:7">
      <c r="A615" s="267"/>
      <c r="B615" s="267"/>
      <c r="C615" s="267"/>
      <c r="G615" s="57"/>
    </row>
    <row r="616" spans="1:7">
      <c r="C616" s="23"/>
      <c r="D616" s="1798" t="s">
        <v>1285</v>
      </c>
      <c r="E616" s="1798"/>
      <c r="F616" s="1798"/>
      <c r="G616" s="57"/>
    </row>
    <row r="617" spans="1:7">
      <c r="A617" s="23"/>
      <c r="B617" s="676"/>
      <c r="C617" s="265"/>
      <c r="D617" s="50"/>
      <c r="G617" s="57"/>
    </row>
    <row r="618" spans="1:7" ht="14.25">
      <c r="A618" s="261"/>
      <c r="B618" s="680" t="s">
        <v>318</v>
      </c>
      <c r="C618" s="265"/>
      <c r="D618" s="1799" t="s">
        <v>1286</v>
      </c>
      <c r="E618" s="1799"/>
      <c r="F618" s="1799"/>
      <c r="G618" s="57"/>
    </row>
    <row r="619" spans="1:7">
      <c r="C619" s="265"/>
      <c r="D619" s="1799"/>
      <c r="E619" s="1799"/>
      <c r="F619" s="1799"/>
      <c r="G619" s="57"/>
    </row>
    <row r="620" spans="1:7">
      <c r="C620" s="265"/>
      <c r="D620" s="1799"/>
      <c r="E620" s="1799"/>
      <c r="F620" s="1799"/>
      <c r="G620" s="57"/>
    </row>
    <row r="621" spans="1:7">
      <c r="C621" s="265"/>
      <c r="D621" s="1799"/>
      <c r="E621" s="1799"/>
      <c r="F621" s="1799"/>
      <c r="G621" s="57"/>
    </row>
    <row r="622" spans="1:7">
      <c r="C622" s="265"/>
      <c r="D622" s="1799"/>
      <c r="E622" s="1799"/>
      <c r="F622" s="1799"/>
      <c r="G622" s="57"/>
    </row>
    <row r="623" spans="1:7">
      <c r="C623" s="265"/>
      <c r="D623" s="1799"/>
      <c r="E623" s="1799"/>
      <c r="F623" s="1799"/>
      <c r="G623" s="57"/>
    </row>
    <row r="624" spans="1:7" s="720" customFormat="1">
      <c r="A624" s="706"/>
      <c r="B624" s="706"/>
      <c r="C624" s="265"/>
      <c r="D624" s="726"/>
      <c r="E624" s="726"/>
      <c r="F624" s="726"/>
      <c r="G624" s="57"/>
    </row>
    <row r="625" spans="1:7" ht="14.25">
      <c r="A625" s="261"/>
      <c r="B625" s="680" t="s">
        <v>318</v>
      </c>
      <c r="C625" s="265"/>
      <c r="D625" s="1799" t="s">
        <v>1287</v>
      </c>
      <c r="E625" s="1799"/>
      <c r="F625" s="1799"/>
      <c r="G625" s="57"/>
    </row>
    <row r="626" spans="1:7">
      <c r="A626" s="266"/>
      <c r="B626" s="266"/>
      <c r="C626" s="266"/>
      <c r="D626" s="1799"/>
      <c r="E626" s="1799"/>
      <c r="F626" s="1799"/>
      <c r="G626" s="57"/>
    </row>
    <row r="627" spans="1:7">
      <c r="A627" s="266"/>
      <c r="B627" s="266"/>
      <c r="C627" s="266"/>
      <c r="D627" s="151"/>
      <c r="E627" s="147"/>
      <c r="F627" s="147"/>
      <c r="G627" s="57"/>
    </row>
    <row r="628" spans="1:7" ht="14.25">
      <c r="A628" s="261"/>
      <c r="B628" s="680" t="s">
        <v>318</v>
      </c>
      <c r="C628" s="266"/>
      <c r="D628" s="1800" t="s">
        <v>1288</v>
      </c>
      <c r="E628" s="1800"/>
      <c r="F628" s="1800"/>
      <c r="G628" s="57"/>
    </row>
    <row r="629" spans="1:7" ht="14.25">
      <c r="A629" s="261"/>
      <c r="B629" s="261"/>
      <c r="C629" s="266"/>
      <c r="D629" s="1800"/>
      <c r="E629" s="1800"/>
      <c r="F629" s="1800"/>
      <c r="G629" s="57"/>
    </row>
    <row r="630" spans="1:7" ht="14.25">
      <c r="A630" s="261"/>
      <c r="B630" s="261"/>
      <c r="C630" s="266"/>
      <c r="D630" s="1800"/>
      <c r="E630" s="1800"/>
      <c r="F630" s="1800"/>
      <c r="G630" s="57"/>
    </row>
    <row r="631" spans="1:7">
      <c r="A631" s="266"/>
      <c r="B631" s="266"/>
      <c r="C631" s="266"/>
      <c r="D631" s="1800"/>
      <c r="E631" s="1800"/>
      <c r="F631" s="1800"/>
      <c r="G631" s="57"/>
    </row>
    <row r="632" spans="1:7" s="720" customFormat="1">
      <c r="A632" s="266"/>
      <c r="B632" s="266"/>
      <c r="C632" s="266"/>
      <c r="D632" s="727"/>
      <c r="E632" s="727"/>
      <c r="F632" s="727"/>
      <c r="G632" s="57"/>
    </row>
    <row r="633" spans="1:7">
      <c r="A633" s="266"/>
      <c r="B633" s="680" t="s">
        <v>318</v>
      </c>
      <c r="C633" s="266"/>
      <c r="D633" s="1801" t="s">
        <v>1289</v>
      </c>
      <c r="E633" s="1801"/>
      <c r="F633" s="1801"/>
      <c r="G633" s="57"/>
    </row>
    <row r="634" spans="1:7">
      <c r="A634" s="266"/>
      <c r="B634" s="266"/>
      <c r="C634" s="266"/>
      <c r="D634" s="728"/>
      <c r="E634" s="728"/>
      <c r="F634" s="728"/>
      <c r="G634" s="57"/>
    </row>
    <row r="635" spans="1:7">
      <c r="A635" s="1781" t="s">
        <v>1180</v>
      </c>
      <c r="B635" s="1781"/>
      <c r="C635" s="1781"/>
      <c r="D635" s="1781"/>
      <c r="E635" s="1781"/>
      <c r="F635" s="1781"/>
      <c r="G635" s="1781"/>
    </row>
    <row r="636" spans="1:7">
      <c r="A636" s="135"/>
      <c r="B636" s="135"/>
      <c r="C636" s="266"/>
      <c r="D636" s="147"/>
      <c r="E636" s="147"/>
      <c r="F636" s="147"/>
      <c r="G636" s="57"/>
    </row>
    <row r="637" spans="1:7">
      <c r="C637" s="267"/>
      <c r="D637" s="1802" t="s">
        <v>1339</v>
      </c>
      <c r="E637" s="1802"/>
      <c r="F637" s="1802"/>
      <c r="G637" s="57"/>
    </row>
    <row r="638" spans="1:7">
      <c r="A638" s="260"/>
      <c r="B638" s="260"/>
      <c r="C638" s="260"/>
      <c r="D638" s="1803" t="s">
        <v>1340</v>
      </c>
      <c r="E638" s="1803"/>
      <c r="F638" s="1803"/>
      <c r="G638" s="57"/>
    </row>
    <row r="639" spans="1:7" s="720" customFormat="1">
      <c r="A639" s="721"/>
      <c r="B639" s="721"/>
      <c r="C639" s="721"/>
      <c r="D639" s="735"/>
      <c r="E639" s="735"/>
      <c r="F639" s="735"/>
      <c r="G639" s="57"/>
    </row>
    <row r="640" spans="1:7" ht="14.65" customHeight="1">
      <c r="A640" s="261"/>
      <c r="B640" s="680" t="s">
        <v>318</v>
      </c>
      <c r="C640" s="266"/>
      <c r="D640" s="1759" t="s">
        <v>1341</v>
      </c>
      <c r="E640" s="1759"/>
      <c r="F640" s="1759"/>
      <c r="G640" s="57"/>
    </row>
    <row r="641" spans="1:11" ht="14.25">
      <c r="A641" s="261"/>
      <c r="B641" s="261"/>
      <c r="C641" s="266"/>
      <c r="D641" s="1759"/>
      <c r="E641" s="1759"/>
      <c r="F641" s="1759"/>
      <c r="G641" s="57"/>
    </row>
    <row r="642" spans="1:11" ht="14.25">
      <c r="A642" s="261"/>
      <c r="B642" s="261"/>
      <c r="C642" s="266"/>
      <c r="D642" s="1759"/>
      <c r="E642" s="1759"/>
      <c r="F642" s="1759"/>
      <c r="G642" s="57"/>
    </row>
    <row r="643" spans="1:11" ht="14.25">
      <c r="A643" s="261"/>
      <c r="B643" s="261"/>
      <c r="C643" s="266"/>
      <c r="D643" s="1759"/>
      <c r="E643" s="1759"/>
      <c r="F643" s="1759"/>
      <c r="G643" s="57"/>
    </row>
    <row r="644" spans="1:11" s="683" customFormat="1" ht="14.25">
      <c r="A644" s="261"/>
      <c r="B644" s="261"/>
      <c r="C644" s="266"/>
      <c r="D644" s="1759"/>
      <c r="E644" s="1759"/>
      <c r="F644" s="1759"/>
      <c r="G644" s="57"/>
    </row>
    <row r="645" spans="1:11" s="720" customFormat="1" ht="14.25">
      <c r="A645" s="715"/>
      <c r="B645" s="715"/>
      <c r="C645" s="266"/>
      <c r="D645" s="737"/>
      <c r="E645" s="737"/>
      <c r="F645" s="737"/>
      <c r="G645" s="57"/>
    </row>
    <row r="646" spans="1:11" s="683" customFormat="1" ht="14.25">
      <c r="A646" s="261"/>
      <c r="B646" s="680" t="s">
        <v>318</v>
      </c>
      <c r="C646" s="266"/>
      <c r="D646" s="1820" t="s">
        <v>1191</v>
      </c>
      <c r="E646" s="1820"/>
      <c r="F646" s="1820"/>
      <c r="G646" s="57"/>
    </row>
    <row r="647" spans="1:11" s="683" customFormat="1" ht="14.25">
      <c r="A647" s="261"/>
      <c r="B647" s="261"/>
      <c r="C647" s="266"/>
      <c r="D647" s="1821" t="s">
        <v>1342</v>
      </c>
      <c r="E647" s="1821"/>
      <c r="F647" s="1821"/>
      <c r="G647" s="57"/>
    </row>
    <row r="648" spans="1:11" s="683" customFormat="1" ht="14.25">
      <c r="A648" s="261"/>
      <c r="B648" s="261"/>
      <c r="C648" s="266"/>
      <c r="D648" s="1821"/>
      <c r="E648" s="1821"/>
      <c r="F648" s="1821"/>
      <c r="G648" s="57"/>
    </row>
    <row r="649" spans="1:11" s="683" customFormat="1" ht="14.25">
      <c r="A649" s="261"/>
      <c r="B649" s="261"/>
      <c r="C649" s="266"/>
      <c r="D649" s="1821"/>
      <c r="E649" s="1821"/>
      <c r="F649" s="1821"/>
      <c r="G649" s="57"/>
    </row>
    <row r="650" spans="1:11" s="683" customFormat="1" ht="14.25">
      <c r="A650" s="261"/>
      <c r="B650" s="261"/>
      <c r="C650" s="266"/>
      <c r="D650" s="1821"/>
      <c r="E650" s="1821"/>
      <c r="F650" s="1821"/>
      <c r="G650" s="57"/>
    </row>
    <row r="651" spans="1:11" s="683" customFormat="1" ht="14.25">
      <c r="A651" s="261"/>
      <c r="B651" s="261"/>
      <c r="C651" s="266"/>
      <c r="D651" s="1821"/>
      <c r="E651" s="1821"/>
      <c r="F651" s="1821"/>
      <c r="G651" s="57"/>
    </row>
    <row r="652" spans="1:11" s="683" customFormat="1" ht="14.25">
      <c r="A652" s="261"/>
      <c r="B652" s="261"/>
      <c r="C652" s="266"/>
      <c r="D652" s="1822" t="s">
        <v>1343</v>
      </c>
      <c r="E652" s="1822"/>
      <c r="F652" s="1822"/>
      <c r="G652" s="57"/>
    </row>
    <row r="653" spans="1:11">
      <c r="A653" s="266"/>
      <c r="B653" s="266"/>
      <c r="C653" s="266"/>
      <c r="D653" s="147"/>
      <c r="E653" s="147"/>
      <c r="F653" s="147"/>
      <c r="G653" s="57"/>
    </row>
    <row r="654" spans="1:11">
      <c r="A654" s="1781" t="s">
        <v>1181</v>
      </c>
      <c r="B654" s="1781"/>
      <c r="C654" s="1781"/>
      <c r="D654" s="1781"/>
      <c r="E654" s="1781"/>
      <c r="F654" s="1781"/>
      <c r="G654" s="1781"/>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784" t="s">
        <v>104</v>
      </c>
      <c r="E656" s="1784"/>
      <c r="F656" s="1784"/>
      <c r="G656" s="57"/>
      <c r="H656" s="269"/>
      <c r="I656" s="269"/>
      <c r="J656" s="269"/>
      <c r="K656" s="269"/>
    </row>
    <row r="657" spans="1:11">
      <c r="A657" s="267"/>
      <c r="B657" s="267"/>
      <c r="C657" s="267"/>
      <c r="D657" s="1784" t="s">
        <v>128</v>
      </c>
      <c r="E657" s="1784"/>
      <c r="F657" s="1784"/>
      <c r="G657" s="57"/>
      <c r="H657" s="269"/>
      <c r="I657" s="269"/>
      <c r="J657" s="269"/>
      <c r="K657" s="269"/>
    </row>
    <row r="658" spans="1:11">
      <c r="A658" s="260"/>
      <c r="B658" s="260"/>
      <c r="C658" s="260"/>
      <c r="D658" s="1774" t="s">
        <v>1217</v>
      </c>
      <c r="E658" s="1774"/>
      <c r="F658" s="1774"/>
      <c r="G658" s="57"/>
      <c r="H658" s="269"/>
      <c r="I658" s="269"/>
      <c r="J658" s="269"/>
      <c r="K658" s="269"/>
    </row>
    <row r="659" spans="1:11">
      <c r="A659" s="260"/>
      <c r="B659" s="260"/>
      <c r="C659" s="260"/>
      <c r="G659" s="57"/>
      <c r="H659" s="269"/>
      <c r="I659" s="269"/>
      <c r="J659" s="269"/>
      <c r="K659" s="269"/>
    </row>
    <row r="660" spans="1:11" ht="14.25">
      <c r="A660" s="261"/>
      <c r="B660" s="680" t="s">
        <v>318</v>
      </c>
      <c r="C660" s="260"/>
      <c r="D660" s="1774" t="s">
        <v>955</v>
      </c>
      <c r="E660" s="1774"/>
      <c r="F660" s="1774"/>
      <c r="G660" s="57"/>
      <c r="H660" s="269"/>
      <c r="I660" s="269"/>
      <c r="J660" s="269"/>
      <c r="K660" s="269"/>
    </row>
    <row r="661" spans="1:11">
      <c r="A661" s="260"/>
      <c r="B661" s="260"/>
      <c r="C661" s="260"/>
      <c r="D661" s="1774" t="s">
        <v>966</v>
      </c>
      <c r="E661" s="1774"/>
      <c r="F661" s="1774"/>
      <c r="G661" s="57"/>
      <c r="H661" s="269"/>
      <c r="I661" s="269"/>
      <c r="J661" s="269"/>
      <c r="K661" s="269"/>
    </row>
    <row r="662" spans="1:11">
      <c r="A662" s="260"/>
      <c r="B662" s="260"/>
      <c r="C662" s="260"/>
      <c r="D662" s="6"/>
      <c r="E662" s="1770" t="s">
        <v>1218</v>
      </c>
      <c r="F662" s="1770"/>
      <c r="G662" s="57"/>
      <c r="H662" s="269"/>
      <c r="I662" s="269"/>
      <c r="J662" s="269"/>
      <c r="K662" s="269"/>
    </row>
    <row r="663" spans="1:11">
      <c r="A663" s="260"/>
      <c r="B663" s="260"/>
      <c r="C663" s="260"/>
      <c r="D663" s="6"/>
      <c r="E663" s="1770"/>
      <c r="F663" s="1770"/>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761" t="s">
        <v>1219</v>
      </c>
      <c r="E665" s="1761"/>
      <c r="F665" s="1761"/>
      <c r="G665" s="57"/>
      <c r="H665" s="269"/>
      <c r="I665" s="269"/>
      <c r="J665" s="269"/>
      <c r="K665" s="269"/>
    </row>
    <row r="666" spans="1:11">
      <c r="A666" s="23"/>
      <c r="B666" s="676"/>
      <c r="C666" s="260"/>
      <c r="D666" s="1761"/>
      <c r="E666" s="1761"/>
      <c r="F666" s="1761"/>
      <c r="G666" s="57"/>
      <c r="H666" s="269"/>
      <c r="I666" s="269"/>
      <c r="J666" s="269"/>
      <c r="K666" s="269"/>
    </row>
    <row r="667" spans="1:11">
      <c r="A667" s="260"/>
      <c r="B667" s="260"/>
      <c r="C667" s="260"/>
      <c r="D667" s="1761"/>
      <c r="E667" s="1761"/>
      <c r="F667" s="1761"/>
      <c r="G667" s="57"/>
      <c r="H667" s="269"/>
      <c r="I667" s="269"/>
      <c r="J667" s="269"/>
      <c r="K667" s="269"/>
    </row>
    <row r="668" spans="1:11">
      <c r="A668" s="260"/>
      <c r="B668" s="260"/>
      <c r="C668" s="260"/>
      <c r="G668" s="57"/>
      <c r="H668" s="269"/>
      <c r="I668" s="269"/>
      <c r="J668" s="269"/>
      <c r="K668" s="269"/>
    </row>
    <row r="669" spans="1:11" ht="14.25">
      <c r="A669" s="261"/>
      <c r="B669" s="680" t="s">
        <v>318</v>
      </c>
      <c r="C669" s="260"/>
      <c r="D669" s="1774" t="s">
        <v>995</v>
      </c>
      <c r="E669" s="1774"/>
      <c r="F669" s="1774"/>
      <c r="G669" s="57"/>
      <c r="H669" s="269"/>
      <c r="I669" s="269"/>
      <c r="J669" s="269"/>
      <c r="K669" s="269"/>
    </row>
    <row r="670" spans="1:11" ht="14.25">
      <c r="A670" s="261"/>
      <c r="B670" s="261"/>
      <c r="C670" s="260"/>
      <c r="D670" s="1774" t="s">
        <v>966</v>
      </c>
      <c r="E670" s="1774"/>
      <c r="F670" s="1774"/>
      <c r="G670" s="57"/>
      <c r="H670" s="269"/>
      <c r="I670" s="269"/>
      <c r="J670" s="269"/>
      <c r="K670" s="269"/>
    </row>
    <row r="671" spans="1:11">
      <c r="A671" s="260"/>
      <c r="B671" s="260"/>
      <c r="C671" s="260"/>
      <c r="D671" s="6"/>
      <c r="E671" s="1792" t="s">
        <v>1220</v>
      </c>
      <c r="F671" s="1792"/>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796" t="s">
        <v>1230</v>
      </c>
      <c r="E673" s="1796"/>
      <c r="F673" s="1796"/>
      <c r="G673" s="57"/>
      <c r="H673" s="269"/>
      <c r="I673" s="269"/>
      <c r="J673" s="269"/>
      <c r="K673" s="269"/>
    </row>
    <row r="674" spans="1:11">
      <c r="A674" s="260"/>
      <c r="B674" s="260"/>
      <c r="C674" s="260"/>
      <c r="D674" s="1796"/>
      <c r="E674" s="1796"/>
      <c r="F674" s="1796"/>
      <c r="G674" s="57"/>
      <c r="H674" s="269"/>
      <c r="I674" s="269"/>
      <c r="J674" s="269"/>
      <c r="K674" s="269"/>
    </row>
    <row r="675" spans="1:11">
      <c r="A675" s="260"/>
      <c r="B675" s="260"/>
      <c r="C675" s="260"/>
      <c r="D675" s="1796"/>
      <c r="E675" s="1796"/>
      <c r="F675" s="1796"/>
      <c r="G675" s="57"/>
      <c r="H675" s="269"/>
      <c r="I675" s="269"/>
      <c r="J675" s="269"/>
      <c r="K675" s="269"/>
    </row>
    <row r="676" spans="1:11">
      <c r="A676" s="260"/>
      <c r="B676" s="260"/>
      <c r="C676" s="260"/>
      <c r="D676" s="1796"/>
      <c r="E676" s="1796"/>
      <c r="F676" s="1796"/>
      <c r="G676" s="57"/>
      <c r="H676" s="269"/>
      <c r="I676" s="269"/>
      <c r="J676" s="269"/>
      <c r="K676" s="269"/>
    </row>
    <row r="677" spans="1:11">
      <c r="A677" s="260"/>
      <c r="B677" s="260"/>
      <c r="C677" s="260"/>
      <c r="D677" s="1796"/>
      <c r="E677" s="1796"/>
      <c r="F677" s="1796"/>
      <c r="G677" s="57"/>
      <c r="H677" s="269"/>
      <c r="I677" s="269"/>
      <c r="J677" s="269"/>
      <c r="K677" s="269"/>
    </row>
    <row r="678" spans="1:11" s="39" customFormat="1">
      <c r="A678" s="488"/>
      <c r="B678" s="488"/>
      <c r="C678" s="488"/>
      <c r="D678" s="1796"/>
      <c r="E678" s="1796"/>
      <c r="F678" s="1796"/>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796" t="s">
        <v>1221</v>
      </c>
      <c r="E680" s="1796"/>
      <c r="F680" s="1796"/>
      <c r="G680" s="57"/>
      <c r="H680" s="269"/>
      <c r="I680" s="269"/>
      <c r="J680" s="269"/>
      <c r="K680" s="269"/>
    </row>
    <row r="681" spans="1:11">
      <c r="A681" s="260"/>
      <c r="B681" s="260"/>
      <c r="C681" s="260"/>
      <c r="D681" s="1796"/>
      <c r="E681" s="1796"/>
      <c r="F681" s="1796"/>
      <c r="G681" s="57"/>
      <c r="H681" s="269"/>
      <c r="I681" s="269"/>
      <c r="J681" s="269"/>
      <c r="K681" s="269"/>
    </row>
    <row r="682" spans="1:11">
      <c r="A682" s="260"/>
      <c r="B682" s="260"/>
      <c r="C682" s="260"/>
      <c r="D682" s="1796"/>
      <c r="E682" s="1796"/>
      <c r="F682" s="1796"/>
      <c r="G682" s="57"/>
      <c r="H682" s="269"/>
      <c r="I682" s="269"/>
      <c r="J682" s="269"/>
      <c r="K682" s="269"/>
    </row>
    <row r="683" spans="1:11" ht="15" customHeight="1">
      <c r="A683" s="260"/>
      <c r="B683" s="260"/>
      <c r="C683" s="260"/>
      <c r="D683" s="1796"/>
      <c r="E683" s="1796"/>
      <c r="F683" s="1796"/>
      <c r="G683" s="57"/>
      <c r="H683" s="269"/>
      <c r="I683" s="269"/>
      <c r="J683" s="269"/>
      <c r="K683" s="269"/>
    </row>
    <row r="684" spans="1:11" ht="15" customHeight="1">
      <c r="A684" s="260"/>
      <c r="B684" s="260"/>
      <c r="C684" s="260"/>
      <c r="D684" s="1796"/>
      <c r="E684" s="1796"/>
      <c r="F684" s="1796"/>
      <c r="G684" s="57"/>
      <c r="H684" s="269"/>
      <c r="I684" s="269"/>
      <c r="J684" s="269"/>
      <c r="K684" s="269"/>
    </row>
    <row r="685" spans="1:11">
      <c r="A685" s="260"/>
      <c r="B685" s="260"/>
      <c r="C685" s="260"/>
      <c r="D685" s="1796"/>
      <c r="E685" s="1796"/>
      <c r="F685" s="1796"/>
      <c r="G685" s="57"/>
      <c r="H685" s="269"/>
      <c r="I685" s="269"/>
      <c r="J685" s="269"/>
      <c r="K685" s="269"/>
    </row>
    <row r="686" spans="1:11">
      <c r="A686" s="260"/>
      <c r="B686" s="260"/>
      <c r="C686" s="260"/>
      <c r="D686" s="1796"/>
      <c r="E686" s="1796"/>
      <c r="F686" s="1796"/>
      <c r="G686" s="57"/>
      <c r="H686" s="269"/>
      <c r="I686" s="269"/>
      <c r="J686" s="269"/>
      <c r="K686" s="269"/>
    </row>
    <row r="687" spans="1:11">
      <c r="A687" s="260"/>
      <c r="B687" s="260"/>
      <c r="C687" s="260"/>
      <c r="D687" s="1796"/>
      <c r="E687" s="1796"/>
      <c r="F687" s="1796"/>
      <c r="G687" s="57"/>
      <c r="H687" s="269"/>
      <c r="I687" s="269"/>
      <c r="J687" s="269"/>
      <c r="K687" s="269"/>
    </row>
    <row r="688" spans="1:11" ht="15" customHeight="1">
      <c r="A688" s="260"/>
      <c r="B688" s="260"/>
      <c r="C688" s="260"/>
      <c r="D688" s="1796"/>
      <c r="E688" s="1796"/>
      <c r="F688" s="1796"/>
      <c r="G688" s="57"/>
      <c r="H688" s="269"/>
      <c r="I688" s="269"/>
      <c r="J688" s="269"/>
      <c r="K688" s="269"/>
    </row>
    <row r="689" spans="1:11">
      <c r="A689" s="260"/>
      <c r="B689" s="260"/>
      <c r="C689" s="260"/>
      <c r="D689" s="1796"/>
      <c r="E689" s="1796"/>
      <c r="F689" s="1796"/>
      <c r="G689" s="57"/>
      <c r="H689" s="269"/>
      <c r="I689" s="269"/>
      <c r="J689" s="269"/>
      <c r="K689" s="269"/>
    </row>
    <row r="690" spans="1:11">
      <c r="A690" s="260"/>
      <c r="B690" s="260"/>
      <c r="C690" s="260"/>
      <c r="D690" s="1796"/>
      <c r="E690" s="1796"/>
      <c r="F690" s="1796"/>
      <c r="G690" s="57"/>
      <c r="H690" s="269"/>
      <c r="I690" s="269"/>
      <c r="J690" s="269"/>
      <c r="K690" s="269"/>
    </row>
    <row r="691" spans="1:11">
      <c r="A691" s="260"/>
      <c r="B691" s="260"/>
      <c r="C691" s="260"/>
      <c r="D691" s="1796"/>
      <c r="E691" s="1796"/>
      <c r="F691" s="1796"/>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796" t="s">
        <v>1231</v>
      </c>
      <c r="E693" s="1796"/>
      <c r="F693" s="1796"/>
      <c r="G693" s="57"/>
      <c r="H693" s="269"/>
      <c r="I693" s="269"/>
      <c r="J693" s="269"/>
      <c r="K693" s="269"/>
    </row>
    <row r="694" spans="1:11">
      <c r="A694" s="260"/>
      <c r="B694" s="260"/>
      <c r="C694" s="260"/>
      <c r="D694" s="1796"/>
      <c r="E694" s="1796"/>
      <c r="F694" s="1796"/>
      <c r="G694" s="57"/>
      <c r="H694" s="269"/>
      <c r="I694" s="269"/>
      <c r="J694" s="269"/>
      <c r="K694" s="269"/>
    </row>
    <row r="695" spans="1:11">
      <c r="A695" s="260"/>
      <c r="B695" s="260"/>
      <c r="C695" s="260"/>
      <c r="D695" s="1796"/>
      <c r="E695" s="1796"/>
      <c r="F695" s="1796"/>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796" t="s">
        <v>1228</v>
      </c>
      <c r="E697" s="1796"/>
      <c r="F697" s="1796"/>
      <c r="G697" s="57"/>
      <c r="H697" s="269"/>
      <c r="I697" s="269"/>
      <c r="J697" s="269"/>
      <c r="K697" s="269"/>
    </row>
    <row r="698" spans="1:11" s="683" customFormat="1">
      <c r="A698" s="260"/>
      <c r="B698" s="260"/>
      <c r="C698" s="260"/>
      <c r="D698" s="1796"/>
      <c r="E698" s="1796"/>
      <c r="F698" s="1796"/>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796" t="s">
        <v>1229</v>
      </c>
      <c r="E700" s="1796"/>
      <c r="F700" s="1796"/>
      <c r="G700" s="57"/>
      <c r="H700" s="269"/>
      <c r="I700" s="269"/>
      <c r="J700" s="269"/>
      <c r="K700" s="269"/>
    </row>
    <row r="701" spans="1:11" s="683" customFormat="1">
      <c r="A701" s="260"/>
      <c r="B701" s="260"/>
      <c r="C701" s="260"/>
      <c r="D701" s="1796"/>
      <c r="E701" s="1796"/>
      <c r="F701" s="1796"/>
      <c r="G701" s="57"/>
      <c r="H701" s="269"/>
      <c r="I701" s="269"/>
      <c r="J701" s="269"/>
      <c r="K701" s="269"/>
    </row>
    <row r="702" spans="1:11" s="683" customFormat="1">
      <c r="A702" s="260"/>
      <c r="B702" s="260"/>
      <c r="C702" s="260"/>
      <c r="D702" s="1796"/>
      <c r="E702" s="1796"/>
      <c r="F702" s="1796"/>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796" t="s">
        <v>1222</v>
      </c>
      <c r="E704" s="1796"/>
      <c r="F704" s="1796"/>
      <c r="G704" s="57"/>
      <c r="H704" s="269"/>
      <c r="I704" s="269"/>
      <c r="J704" s="269"/>
      <c r="K704" s="269"/>
    </row>
    <row r="705" spans="1:11">
      <c r="A705" s="260"/>
      <c r="B705" s="260"/>
      <c r="C705" s="260"/>
      <c r="D705" s="1796"/>
      <c r="E705" s="1796"/>
      <c r="F705" s="1796"/>
      <c r="G705" s="57"/>
      <c r="H705" s="269"/>
      <c r="I705" s="269"/>
      <c r="J705" s="269"/>
      <c r="K705" s="269"/>
    </row>
    <row r="706" spans="1:11">
      <c r="A706" s="260"/>
      <c r="B706" s="260"/>
      <c r="C706" s="260"/>
      <c r="D706" s="1796"/>
      <c r="E706" s="1796"/>
      <c r="F706" s="1796"/>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796" t="s">
        <v>1223</v>
      </c>
      <c r="E708" s="1796"/>
      <c r="F708" s="1796"/>
      <c r="G708" s="57"/>
      <c r="H708" s="269"/>
      <c r="I708" s="269"/>
      <c r="J708" s="269"/>
      <c r="K708" s="269"/>
    </row>
    <row r="709" spans="1:11">
      <c r="A709" s="260"/>
      <c r="B709" s="260"/>
      <c r="C709" s="260"/>
      <c r="D709" s="1796"/>
      <c r="E709" s="1796"/>
      <c r="F709" s="1796"/>
      <c r="G709" s="57"/>
      <c r="H709" s="269"/>
      <c r="I709" s="269"/>
      <c r="J709" s="269"/>
      <c r="K709" s="269"/>
    </row>
    <row r="710" spans="1:11">
      <c r="A710" s="260"/>
      <c r="B710" s="260"/>
      <c r="C710" s="260"/>
      <c r="D710" s="1796"/>
      <c r="E710" s="1796"/>
      <c r="F710" s="1796"/>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761" t="s">
        <v>1224</v>
      </c>
      <c r="E712" s="1761"/>
      <c r="F712" s="1761"/>
      <c r="G712" s="57"/>
      <c r="H712" s="269"/>
      <c r="I712" s="269"/>
      <c r="J712" s="269"/>
      <c r="K712" s="269"/>
    </row>
    <row r="713" spans="1:11">
      <c r="A713" s="260"/>
      <c r="B713" s="260"/>
      <c r="C713" s="260"/>
      <c r="D713" s="1761"/>
      <c r="E713" s="1761"/>
      <c r="F713" s="1761"/>
      <c r="G713" s="57"/>
      <c r="H713" s="269"/>
      <c r="I713" s="269"/>
      <c r="J713" s="269"/>
      <c r="K713" s="269"/>
    </row>
    <row r="714" spans="1:11">
      <c r="A714" s="260"/>
      <c r="B714" s="260"/>
      <c r="C714" s="260"/>
      <c r="D714" s="1761"/>
      <c r="E714" s="1761"/>
      <c r="F714" s="1761"/>
      <c r="G714" s="57"/>
      <c r="H714" s="269"/>
      <c r="I714" s="269"/>
      <c r="J714" s="269"/>
      <c r="K714" s="269"/>
    </row>
    <row r="715" spans="1:11">
      <c r="A715" s="260"/>
      <c r="B715" s="260"/>
      <c r="C715" s="260"/>
      <c r="D715" s="1761"/>
      <c r="E715" s="1761"/>
      <c r="F715" s="1761"/>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796" t="s">
        <v>1357</v>
      </c>
      <c r="E717" s="1796"/>
      <c r="F717" s="1796"/>
      <c r="G717" s="57"/>
      <c r="H717" s="269"/>
      <c r="I717" s="269"/>
      <c r="J717" s="269"/>
      <c r="K717" s="269"/>
    </row>
    <row r="718" spans="1:11">
      <c r="A718" s="260"/>
      <c r="B718" s="260"/>
      <c r="C718" s="260"/>
      <c r="D718" s="1796"/>
      <c r="E718" s="1796"/>
      <c r="F718" s="1796"/>
      <c r="G718" s="57"/>
      <c r="H718" s="269"/>
      <c r="I718" s="269"/>
      <c r="J718" s="269"/>
      <c r="K718" s="269"/>
    </row>
    <row r="719" spans="1:11">
      <c r="A719" s="260"/>
      <c r="B719" s="260"/>
      <c r="C719" s="260"/>
      <c r="D719" s="1796"/>
      <c r="E719" s="1796"/>
      <c r="F719" s="1796"/>
      <c r="G719" s="57"/>
      <c r="H719" s="269"/>
      <c r="I719" s="269"/>
      <c r="J719" s="269"/>
      <c r="K719" s="269"/>
    </row>
    <row r="720" spans="1:11">
      <c r="A720" s="260"/>
      <c r="B720" s="260"/>
      <c r="C720" s="260"/>
      <c r="D720" s="1796"/>
      <c r="E720" s="1796"/>
      <c r="F720" s="1796"/>
      <c r="G720" s="57"/>
      <c r="H720" s="269"/>
      <c r="I720" s="269"/>
      <c r="J720" s="269"/>
      <c r="K720" s="269"/>
    </row>
    <row r="721" spans="1:11">
      <c r="A721" s="260"/>
      <c r="B721" s="260"/>
      <c r="C721" s="260"/>
      <c r="D721" s="1796"/>
      <c r="E721" s="1796"/>
      <c r="F721" s="1796"/>
      <c r="G721" s="57"/>
      <c r="H721" s="269"/>
      <c r="I721" s="269"/>
      <c r="J721" s="269"/>
      <c r="K721" s="269"/>
    </row>
    <row r="722" spans="1:11">
      <c r="A722" s="260"/>
      <c r="B722" s="260"/>
      <c r="C722" s="260"/>
      <c r="D722" s="1796"/>
      <c r="E722" s="1796"/>
      <c r="F722" s="1796"/>
      <c r="G722" s="57"/>
      <c r="H722" s="269"/>
      <c r="I722" s="269"/>
      <c r="J722" s="269"/>
      <c r="K722" s="269"/>
    </row>
    <row r="723" spans="1:11">
      <c r="A723" s="260"/>
      <c r="B723" s="260"/>
      <c r="C723" s="260"/>
      <c r="D723" s="1796"/>
      <c r="E723" s="1796"/>
      <c r="F723" s="1796"/>
      <c r="G723" s="57"/>
      <c r="H723" s="269"/>
      <c r="I723" s="269"/>
      <c r="J723" s="269"/>
      <c r="K723" s="269"/>
    </row>
    <row r="724" spans="1:11">
      <c r="A724" s="260"/>
      <c r="B724" s="260"/>
      <c r="C724" s="260"/>
      <c r="D724" s="1829" t="s">
        <v>1225</v>
      </c>
      <c r="E724" s="1829"/>
      <c r="F724" s="1829"/>
      <c r="G724" s="57"/>
      <c r="H724" s="269"/>
      <c r="I724" s="269"/>
      <c r="J724" s="269"/>
      <c r="K724" s="269"/>
    </row>
    <row r="725" spans="1:11" s="683" customFormat="1">
      <c r="A725" s="260"/>
      <c r="B725" s="260"/>
      <c r="C725" s="260"/>
      <c r="D725" s="534"/>
      <c r="E725" s="7"/>
      <c r="F725" s="7"/>
      <c r="G725" s="57"/>
      <c r="H725" s="269"/>
      <c r="I725" s="269"/>
      <c r="J725" s="269"/>
      <c r="K725" s="269"/>
    </row>
    <row r="726" spans="1:11">
      <c r="A726" s="1831" t="s">
        <v>1182</v>
      </c>
      <c r="B726" s="1831"/>
      <c r="C726" s="1831"/>
      <c r="D726" s="1831"/>
      <c r="E726" s="1831"/>
      <c r="F726" s="1831"/>
      <c r="G726" s="1831"/>
      <c r="H726" s="269"/>
      <c r="I726" s="269"/>
      <c r="J726" s="269"/>
      <c r="K726" s="269"/>
    </row>
    <row r="727" spans="1:11">
      <c r="A727" s="260"/>
      <c r="B727" s="260"/>
      <c r="C727" s="260"/>
      <c r="D727" s="263"/>
      <c r="G727" s="271"/>
      <c r="H727" s="269"/>
      <c r="I727" s="269"/>
      <c r="J727" s="269"/>
      <c r="K727" s="269"/>
    </row>
    <row r="728" spans="1:11" ht="13.15" customHeight="1">
      <c r="C728" s="260"/>
      <c r="D728" s="1810" t="s">
        <v>1198</v>
      </c>
      <c r="E728" s="1810"/>
      <c r="F728" s="1810"/>
      <c r="G728" s="271"/>
      <c r="H728" s="269"/>
      <c r="I728" s="269"/>
      <c r="J728" s="269"/>
      <c r="K728" s="269"/>
    </row>
    <row r="729" spans="1:11">
      <c r="A729" s="260"/>
      <c r="B729" s="260"/>
      <c r="C729" s="260"/>
      <c r="D729" s="1827" t="s">
        <v>1199</v>
      </c>
      <c r="E729" s="1827"/>
      <c r="F729" s="1827"/>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761" t="s">
        <v>1200</v>
      </c>
      <c r="E731" s="1761"/>
      <c r="F731" s="1761"/>
      <c r="G731" s="271"/>
      <c r="H731" s="272"/>
      <c r="I731" s="272"/>
      <c r="J731" s="272"/>
      <c r="K731" s="272"/>
    </row>
    <row r="732" spans="1:11" s="39" customFormat="1" ht="10.5" customHeight="1">
      <c r="A732" s="132"/>
      <c r="B732" s="677"/>
      <c r="C732" s="132"/>
      <c r="D732" s="1761"/>
      <c r="E732" s="1761"/>
      <c r="F732" s="1761"/>
      <c r="G732" s="271"/>
      <c r="H732" s="272"/>
      <c r="I732" s="272"/>
      <c r="J732" s="272"/>
      <c r="K732" s="272"/>
    </row>
    <row r="733" spans="1:11" s="39" customFormat="1">
      <c r="A733" s="132"/>
      <c r="B733" s="677"/>
      <c r="C733" s="132"/>
      <c r="D733" s="1761"/>
      <c r="E733" s="1761"/>
      <c r="F733" s="1761"/>
      <c r="G733" s="271"/>
      <c r="H733" s="272"/>
      <c r="I733" s="272"/>
      <c r="J733" s="272"/>
      <c r="K733" s="272"/>
    </row>
    <row r="734" spans="1:11">
      <c r="D734" s="1761"/>
      <c r="E734" s="1761"/>
      <c r="F734" s="1761"/>
      <c r="G734" s="271"/>
      <c r="H734" s="269"/>
      <c r="I734" s="269"/>
      <c r="J734" s="269"/>
      <c r="K734" s="269"/>
    </row>
    <row r="735" spans="1:11">
      <c r="A735" s="273"/>
      <c r="B735" s="273"/>
      <c r="C735" s="273"/>
      <c r="D735" s="1761"/>
      <c r="E735" s="1761"/>
      <c r="F735" s="1761"/>
      <c r="G735" s="275"/>
      <c r="H735" s="269"/>
      <c r="I735" s="269"/>
      <c r="J735" s="269"/>
      <c r="K735" s="269"/>
    </row>
    <row r="736" spans="1:11" ht="15.6" customHeight="1">
      <c r="A736" s="273"/>
      <c r="B736" s="273"/>
      <c r="C736" s="273"/>
      <c r="D736" s="1761"/>
      <c r="E736" s="1761"/>
      <c r="F736" s="1761"/>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762" t="s">
        <v>1201</v>
      </c>
      <c r="E738" s="1762"/>
      <c r="F738" s="1762"/>
      <c r="G738" s="312"/>
    </row>
    <row r="739" spans="1:11" s="410" customFormat="1">
      <c r="A739" s="409"/>
      <c r="B739" s="409"/>
      <c r="C739" s="409"/>
      <c r="D739" s="1762"/>
      <c r="E739" s="1762"/>
      <c r="F739" s="1762"/>
      <c r="G739" s="312"/>
    </row>
    <row r="740" spans="1:11" s="410" customFormat="1">
      <c r="A740" s="409"/>
      <c r="B740" s="409"/>
      <c r="C740" s="409"/>
      <c r="D740" s="1762"/>
      <c r="E740" s="1762"/>
      <c r="F740" s="1762"/>
      <c r="G740" s="312"/>
    </row>
    <row r="741" spans="1:11" s="410" customFormat="1">
      <c r="A741" s="409"/>
      <c r="B741" s="409"/>
      <c r="C741" s="409"/>
      <c r="D741" s="1762"/>
      <c r="E741" s="1762"/>
      <c r="F741" s="1762"/>
      <c r="G741" s="312"/>
    </row>
    <row r="742" spans="1:11" s="410" customFormat="1">
      <c r="A742" s="409"/>
      <c r="B742" s="409"/>
      <c r="C742" s="409"/>
      <c r="D742" s="378"/>
      <c r="E742" s="312"/>
      <c r="F742" s="312"/>
      <c r="G742" s="312"/>
    </row>
    <row r="743" spans="1:11" s="410" customFormat="1" ht="14.25">
      <c r="A743" s="261"/>
      <c r="B743" s="680" t="s">
        <v>318</v>
      </c>
      <c r="C743" s="409"/>
      <c r="D743" s="1828" t="s">
        <v>1202</v>
      </c>
      <c r="E743" s="1828"/>
      <c r="F743" s="1828"/>
      <c r="G743" s="312"/>
    </row>
    <row r="744" spans="1:11" s="410" customFormat="1">
      <c r="A744" s="409"/>
      <c r="B744" s="409"/>
      <c r="C744" s="409"/>
      <c r="D744" s="1828"/>
      <c r="E744" s="1828"/>
      <c r="F744" s="1828"/>
      <c r="G744" s="312"/>
    </row>
    <row r="745" spans="1:11" s="410" customFormat="1">
      <c r="A745" s="409"/>
      <c r="B745" s="409"/>
      <c r="C745" s="409"/>
      <c r="D745" s="1828"/>
      <c r="E745" s="1828"/>
      <c r="F745" s="1828"/>
      <c r="G745" s="312"/>
    </row>
    <row r="746" spans="1:11">
      <c r="A746" s="273"/>
      <c r="B746" s="273"/>
      <c r="C746" s="273"/>
      <c r="D746" s="378"/>
      <c r="E746" s="274"/>
      <c r="F746" s="274"/>
      <c r="G746" s="275"/>
      <c r="H746" s="269"/>
      <c r="I746" s="269"/>
      <c r="J746" s="269"/>
      <c r="K746" s="269"/>
    </row>
    <row r="747" spans="1:11" ht="14.25">
      <c r="A747" s="261"/>
      <c r="B747" s="680" t="s">
        <v>318</v>
      </c>
      <c r="C747" s="273"/>
      <c r="D747" s="1762" t="s">
        <v>1203</v>
      </c>
      <c r="E747" s="1762"/>
      <c r="F747" s="1762"/>
      <c r="G747" s="275"/>
      <c r="H747" s="269"/>
      <c r="I747" s="269"/>
      <c r="J747" s="269"/>
      <c r="K747" s="269"/>
    </row>
    <row r="748" spans="1:11">
      <c r="A748" s="273"/>
      <c r="B748" s="273"/>
      <c r="C748" s="273"/>
      <c r="D748" s="1762"/>
      <c r="E748" s="1762"/>
      <c r="F748" s="1762"/>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762" t="s">
        <v>1204</v>
      </c>
      <c r="E750" s="1762"/>
      <c r="F750" s="1762"/>
      <c r="G750" s="275"/>
      <c r="H750" s="269"/>
      <c r="I750" s="269"/>
      <c r="J750" s="269"/>
      <c r="K750" s="269"/>
    </row>
    <row r="751" spans="1:11" s="683" customFormat="1">
      <c r="A751" s="273"/>
      <c r="B751" s="273"/>
      <c r="C751" s="273"/>
      <c r="D751" s="1762"/>
      <c r="E751" s="1762"/>
      <c r="F751" s="1762"/>
      <c r="G751" s="275"/>
      <c r="H751" s="269"/>
      <c r="I751" s="269"/>
      <c r="J751" s="269"/>
      <c r="K751" s="269"/>
    </row>
    <row r="752" spans="1:11" s="683" customFormat="1">
      <c r="A752" s="273"/>
      <c r="B752" s="273"/>
      <c r="C752" s="273"/>
      <c r="D752" s="1762"/>
      <c r="E752" s="1762"/>
      <c r="F752" s="1762"/>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33" t="s">
        <v>1205</v>
      </c>
      <c r="B754" s="1833"/>
      <c r="C754" s="1833"/>
      <c r="D754" s="1833"/>
      <c r="E754" s="1833"/>
      <c r="F754" s="1833"/>
      <c r="G754" s="1833"/>
    </row>
    <row r="755" spans="1:11">
      <c r="A755" s="260"/>
      <c r="B755" s="260"/>
      <c r="C755" s="260"/>
      <c r="D755" s="276"/>
      <c r="F755" s="147"/>
      <c r="G755" s="271"/>
    </row>
    <row r="756" spans="1:11">
      <c r="A756" s="273"/>
      <c r="B756" s="273"/>
      <c r="C756" s="443"/>
      <c r="D756" s="1834" t="s">
        <v>1189</v>
      </c>
      <c r="E756" s="1834"/>
      <c r="F756" s="1834"/>
      <c r="G756" s="271"/>
    </row>
    <row r="757" spans="1:11">
      <c r="A757" s="504"/>
      <c r="B757" s="504"/>
      <c r="C757" s="503"/>
      <c r="D757" s="1824" t="s">
        <v>1206</v>
      </c>
      <c r="E757" s="1824"/>
      <c r="F757" s="1824"/>
      <c r="G757" s="271"/>
    </row>
    <row r="758" spans="1:11">
      <c r="A758" s="273"/>
      <c r="B758" s="273"/>
      <c r="C758" s="443"/>
      <c r="D758" s="694"/>
      <c r="E758" s="694"/>
      <c r="F758" s="694"/>
      <c r="G758" s="271"/>
    </row>
    <row r="759" spans="1:11" ht="14.25">
      <c r="A759" s="261"/>
      <c r="B759" s="680" t="s">
        <v>318</v>
      </c>
      <c r="C759" s="443"/>
      <c r="D759" s="1825" t="s">
        <v>1074</v>
      </c>
      <c r="E759" s="1825"/>
      <c r="F759" s="1825"/>
      <c r="G759" s="271"/>
    </row>
    <row r="760" spans="1:11">
      <c r="A760" s="273"/>
      <c r="B760" s="273"/>
      <c r="C760" s="443"/>
      <c r="D760" s="693"/>
      <c r="E760" s="1826" t="s">
        <v>1190</v>
      </c>
      <c r="F760" s="1826"/>
      <c r="G760" s="271"/>
    </row>
    <row r="761" spans="1:11">
      <c r="A761" s="267"/>
      <c r="B761" s="267"/>
      <c r="C761" s="267"/>
      <c r="D761" s="135"/>
      <c r="F761" s="57"/>
      <c r="G761" s="271"/>
    </row>
    <row r="762" spans="1:11">
      <c r="A762" s="1830" t="s">
        <v>473</v>
      </c>
      <c r="B762" s="1830"/>
      <c r="C762" s="1830"/>
      <c r="D762" s="1830"/>
      <c r="E762" s="1830"/>
      <c r="F762" s="1830"/>
      <c r="G762" s="1830"/>
    </row>
    <row r="763" spans="1:11">
      <c r="A763" s="255"/>
      <c r="B763" s="674"/>
      <c r="C763" s="266"/>
      <c r="D763" s="271"/>
      <c r="E763" s="271"/>
      <c r="F763" s="271"/>
      <c r="G763" s="271"/>
    </row>
    <row r="764" spans="1:11">
      <c r="A764" s="135"/>
      <c r="B764" s="1832" t="s">
        <v>1073</v>
      </c>
      <c r="C764" s="1832"/>
      <c r="D764" s="1832"/>
      <c r="E764" s="1832"/>
      <c r="F764" s="1832"/>
      <c r="G764" s="271"/>
    </row>
    <row r="765" spans="1:11">
      <c r="A765" s="23"/>
      <c r="B765" s="676"/>
      <c r="G765" s="271"/>
    </row>
    <row r="766" spans="1:11">
      <c r="A766" s="1830" t="s">
        <v>474</v>
      </c>
      <c r="B766" s="1830"/>
      <c r="C766" s="1830"/>
      <c r="D766" s="1830"/>
      <c r="E766" s="1830"/>
      <c r="F766" s="1830"/>
      <c r="G766" s="1830"/>
    </row>
    <row r="767" spans="1:11">
      <c r="A767" s="255"/>
      <c r="B767" s="674"/>
      <c r="C767" s="255"/>
      <c r="D767" s="263"/>
      <c r="G767" s="271"/>
    </row>
    <row r="768" spans="1:11">
      <c r="A768" s="135"/>
      <c r="B768" s="1776" t="s">
        <v>472</v>
      </c>
      <c r="C768" s="1776"/>
      <c r="D768" s="1776"/>
      <c r="E768" s="1776"/>
      <c r="F768" s="1776"/>
      <c r="G768" s="271"/>
    </row>
    <row r="769" spans="1:7" ht="14.25">
      <c r="A769" s="261"/>
      <c r="B769" s="261"/>
      <c r="D769" s="135"/>
      <c r="E769" s="135"/>
      <c r="F769" s="271"/>
      <c r="G769" s="271"/>
    </row>
    <row r="770" spans="1:7">
      <c r="A770" s="1830" t="s">
        <v>475</v>
      </c>
      <c r="B770" s="1830"/>
      <c r="C770" s="1830"/>
      <c r="D770" s="1830"/>
      <c r="E770" s="1830"/>
      <c r="F770" s="1830"/>
      <c r="G770" s="1830"/>
    </row>
    <row r="771" spans="1:7">
      <c r="C771" s="260"/>
      <c r="D771" s="259"/>
      <c r="E771" s="135"/>
      <c r="F771" s="271"/>
      <c r="G771" s="271"/>
    </row>
    <row r="772" spans="1:7">
      <c r="A772" s="135"/>
      <c r="B772" s="1776" t="s">
        <v>472</v>
      </c>
      <c r="C772" s="1776"/>
      <c r="D772" s="1776"/>
      <c r="E772" s="1776"/>
      <c r="F772" s="1776"/>
      <c r="G772" s="271"/>
    </row>
    <row r="773" spans="1:7">
      <c r="A773" s="135"/>
      <c r="B773" s="135"/>
      <c r="C773" s="266"/>
      <c r="D773" s="271"/>
      <c r="E773" s="271"/>
      <c r="F773" s="271"/>
      <c r="G773" s="271"/>
    </row>
    <row r="774" spans="1:7">
      <c r="A774" s="1830" t="s">
        <v>476</v>
      </c>
      <c r="B774" s="1830"/>
      <c r="C774" s="1830"/>
      <c r="D774" s="1830"/>
      <c r="E774" s="1830"/>
      <c r="F774" s="1830"/>
      <c r="G774" s="1830"/>
    </row>
    <row r="775" spans="1:7">
      <c r="A775" s="135"/>
      <c r="B775" s="135"/>
    </row>
    <row r="776" spans="1:7">
      <c r="A776" s="135"/>
      <c r="B776" s="1776" t="s">
        <v>472</v>
      </c>
      <c r="C776" s="1776"/>
      <c r="D776" s="1776"/>
      <c r="E776" s="1776"/>
      <c r="F776" s="1776"/>
    </row>
    <row r="777" spans="1:7">
      <c r="A777" s="266"/>
      <c r="B777" s="266"/>
      <c r="C777" s="266"/>
      <c r="D777" s="258"/>
      <c r="F777" s="271"/>
    </row>
    <row r="778" spans="1:7">
      <c r="A778" s="1830" t="s">
        <v>477</v>
      </c>
      <c r="B778" s="1830"/>
      <c r="C778" s="1830"/>
      <c r="D778" s="1830"/>
      <c r="E778" s="1830"/>
      <c r="F778" s="1830"/>
      <c r="G778" s="1830"/>
    </row>
    <row r="779" spans="1:7">
      <c r="A779" s="135"/>
      <c r="B779" s="135"/>
    </row>
    <row r="780" spans="1:7">
      <c r="A780" s="135"/>
      <c r="B780" s="1776" t="s">
        <v>472</v>
      </c>
      <c r="C780" s="1776"/>
      <c r="D780" s="1776"/>
      <c r="E780" s="1776"/>
      <c r="F780" s="1776"/>
    </row>
    <row r="781" spans="1:7">
      <c r="A781" s="266"/>
      <c r="B781" s="266"/>
      <c r="C781" s="266"/>
      <c r="D781" s="258"/>
      <c r="F781" s="271"/>
    </row>
    <row r="782" spans="1:7">
      <c r="A782" s="1830" t="s">
        <v>478</v>
      </c>
      <c r="B782" s="1830"/>
      <c r="C782" s="1830"/>
      <c r="D782" s="1830"/>
      <c r="E782" s="1830"/>
      <c r="F782" s="1830"/>
      <c r="G782" s="1830"/>
    </row>
    <row r="783" spans="1:7">
      <c r="A783" s="135"/>
      <c r="B783" s="135"/>
    </row>
    <row r="784" spans="1:7">
      <c r="A784" s="135"/>
      <c r="B784" s="1776" t="s">
        <v>472</v>
      </c>
      <c r="C784" s="1776"/>
      <c r="D784" s="1776"/>
      <c r="E784" s="1776"/>
      <c r="F784" s="1776"/>
    </row>
    <row r="785" spans="1:7">
      <c r="A785" s="265"/>
      <c r="B785" s="265"/>
      <c r="C785" s="265"/>
      <c r="D785" s="277"/>
      <c r="E785" s="57"/>
      <c r="F785" s="57"/>
      <c r="G785" s="57"/>
    </row>
    <row r="786" spans="1:7">
      <c r="A786" s="1830" t="s">
        <v>192</v>
      </c>
      <c r="B786" s="1830"/>
      <c r="C786" s="1830"/>
      <c r="D786" s="1830"/>
      <c r="E786" s="1830"/>
      <c r="F786" s="1830"/>
      <c r="G786" s="1830"/>
    </row>
    <row r="787" spans="1:7">
      <c r="A787" s="135"/>
      <c r="B787" s="135"/>
    </row>
    <row r="788" spans="1:7">
      <c r="A788" s="135"/>
      <c r="B788" s="1776" t="s">
        <v>472</v>
      </c>
      <c r="C788" s="1776"/>
      <c r="D788" s="1776"/>
      <c r="E788" s="1776"/>
      <c r="F788" s="1776"/>
    </row>
    <row r="789" spans="1:7">
      <c r="A789" s="135"/>
      <c r="B789" s="135"/>
      <c r="D789" s="258"/>
    </row>
    <row r="790" spans="1:7">
      <c r="A790" s="1830" t="s">
        <v>942</v>
      </c>
      <c r="B790" s="1830"/>
      <c r="C790" s="1830"/>
      <c r="D790" s="1830"/>
      <c r="E790" s="1830"/>
      <c r="F790" s="1830"/>
      <c r="G790" s="1830"/>
    </row>
    <row r="791" spans="1:7">
      <c r="A791" s="135"/>
      <c r="B791" s="135"/>
    </row>
    <row r="792" spans="1:7">
      <c r="A792" s="135"/>
      <c r="B792" s="1776" t="s">
        <v>472</v>
      </c>
      <c r="C792" s="1776"/>
      <c r="D792" s="1776"/>
      <c r="E792" s="1776"/>
      <c r="F792" s="1776"/>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13" zoomScaleNormal="100" zoomScaleSheetLayoutView="100" workbookViewId="0">
      <selection activeCell="A2" sqref="A2:J2"/>
    </sheetView>
  </sheetViews>
  <sheetFormatPr defaultColWidth="0" defaultRowHeight="12.4" customHeight="1" zeroHeight="1"/>
  <cols>
    <col min="1" max="10" width="9.28515625" style="723" customWidth="1"/>
    <col min="11" max="16384" width="8.7109375" style="723" hidden="1"/>
  </cols>
  <sheetData>
    <row r="1" spans="1:10" ht="14.25" customHeight="1"/>
    <row r="2" spans="1:10" ht="15.75">
      <c r="A2" s="1839" t="s">
        <v>2442</v>
      </c>
      <c r="B2" s="1840"/>
      <c r="C2" s="1840"/>
      <c r="D2" s="1840"/>
      <c r="E2" s="1840"/>
      <c r="F2" s="1840"/>
      <c r="G2" s="1840"/>
      <c r="H2" s="1840"/>
      <c r="I2" s="1840"/>
      <c r="J2" s="1840"/>
    </row>
    <row r="3" spans="1:10" ht="15.75">
      <c r="A3" s="1844" t="s">
        <v>685</v>
      </c>
      <c r="B3" s="1845"/>
      <c r="C3" s="1845"/>
      <c r="D3" s="1845"/>
      <c r="E3" s="1845"/>
      <c r="F3" s="1845"/>
      <c r="G3" s="1845"/>
      <c r="H3" s="1845"/>
      <c r="I3" s="1845"/>
      <c r="J3" s="1845"/>
    </row>
    <row r="4" spans="1:10" ht="15">
      <c r="A4" s="1846" t="s">
        <v>1510</v>
      </c>
      <c r="B4" s="1845"/>
      <c r="C4" s="1845"/>
      <c r="D4" s="1845"/>
      <c r="E4" s="1845"/>
      <c r="F4" s="1845"/>
      <c r="G4" s="1845"/>
      <c r="H4" s="1845"/>
      <c r="I4" s="1845"/>
      <c r="J4" s="1845"/>
    </row>
    <row r="5" spans="1:10" ht="12.75"/>
    <row r="6" spans="1:10" ht="12.75">
      <c r="A6" s="1841" t="s">
        <v>1532</v>
      </c>
      <c r="B6" s="1842"/>
      <c r="C6" s="1842"/>
      <c r="D6" s="1842"/>
      <c r="E6" s="1842"/>
      <c r="F6" s="1842"/>
      <c r="G6" s="1842"/>
      <c r="H6" s="1842"/>
      <c r="I6" s="1842"/>
      <c r="J6" s="1842"/>
    </row>
    <row r="7" spans="1:10" ht="12.75">
      <c r="A7" s="1842"/>
      <c r="B7" s="1842"/>
      <c r="C7" s="1842"/>
      <c r="D7" s="1842"/>
      <c r="E7" s="1842"/>
      <c r="F7" s="1842"/>
      <c r="G7" s="1842"/>
      <c r="H7" s="1842"/>
      <c r="I7" s="1842"/>
      <c r="J7" s="1842"/>
    </row>
    <row r="8" spans="1:10" ht="12.75">
      <c r="A8" s="1842"/>
      <c r="B8" s="1842"/>
      <c r="C8" s="1842"/>
      <c r="D8" s="1842"/>
      <c r="E8" s="1842"/>
      <c r="F8" s="1842"/>
      <c r="G8" s="1842"/>
      <c r="H8" s="1842"/>
      <c r="I8" s="1842"/>
      <c r="J8" s="1842"/>
    </row>
    <row r="9" spans="1:10" ht="30" customHeight="1">
      <c r="A9" s="1842"/>
      <c r="B9" s="1842"/>
      <c r="C9" s="1842"/>
      <c r="D9" s="1842"/>
      <c r="E9" s="1842"/>
      <c r="F9" s="1842"/>
      <c r="G9" s="1842"/>
      <c r="H9" s="1842"/>
      <c r="I9" s="1842"/>
      <c r="J9" s="1842"/>
    </row>
    <row r="10" spans="1:10" ht="12.75">
      <c r="A10" s="773"/>
      <c r="B10" s="773"/>
      <c r="C10" s="773"/>
      <c r="D10" s="773"/>
      <c r="E10" s="773"/>
      <c r="F10" s="773"/>
      <c r="G10" s="773"/>
      <c r="H10" s="773"/>
      <c r="I10" s="773"/>
      <c r="J10" s="773"/>
    </row>
    <row r="11" spans="1:10" ht="12.75">
      <c r="A11" s="1847" t="s">
        <v>1396</v>
      </c>
      <c r="B11" s="1848"/>
      <c r="C11" s="1848"/>
      <c r="D11" s="1848"/>
      <c r="E11" s="1848"/>
      <c r="F11" s="1848"/>
      <c r="G11" s="1848"/>
      <c r="H11" s="1848"/>
      <c r="I11" s="1848"/>
      <c r="J11" s="1848"/>
    </row>
    <row r="12" spans="1:10" ht="12.75">
      <c r="A12" s="1848"/>
      <c r="B12" s="1848"/>
      <c r="C12" s="1848"/>
      <c r="D12" s="1848"/>
      <c r="E12" s="1848"/>
      <c r="F12" s="1848"/>
      <c r="G12" s="1848"/>
      <c r="H12" s="1848"/>
      <c r="I12" s="1848"/>
      <c r="J12" s="1848"/>
    </row>
    <row r="13" spans="1:10" ht="12.75">
      <c r="A13" s="1848"/>
      <c r="B13" s="1848"/>
      <c r="C13" s="1848"/>
      <c r="D13" s="1848"/>
      <c r="E13" s="1848"/>
      <c r="F13" s="1848"/>
      <c r="G13" s="1848"/>
      <c r="H13" s="1848"/>
      <c r="I13" s="1848"/>
      <c r="J13" s="1848"/>
    </row>
    <row r="14" spans="1:10" ht="12.75"/>
    <row r="15" spans="1:10" ht="12.75" customHeight="1">
      <c r="A15" s="1849" t="s">
        <v>1483</v>
      </c>
      <c r="B15" s="1849"/>
      <c r="C15" s="1849"/>
      <c r="D15" s="1849"/>
      <c r="E15" s="1849"/>
      <c r="F15" s="1849"/>
      <c r="G15" s="1849"/>
      <c r="H15" s="1849"/>
      <c r="I15" s="1849"/>
      <c r="J15" s="1849"/>
    </row>
    <row r="16" spans="1:10" ht="12.75">
      <c r="A16" s="1849"/>
      <c r="B16" s="1849"/>
      <c r="C16" s="1849"/>
      <c r="D16" s="1849"/>
      <c r="E16" s="1849"/>
      <c r="F16" s="1849"/>
      <c r="G16" s="1849"/>
      <c r="H16" s="1849"/>
      <c r="I16" s="1849"/>
      <c r="J16" s="1849"/>
    </row>
    <row r="17" spans="1:10" ht="12.75">
      <c r="A17" s="1849"/>
      <c r="B17" s="1849"/>
      <c r="C17" s="1849"/>
      <c r="D17" s="1849"/>
      <c r="E17" s="1849"/>
      <c r="F17" s="1849"/>
      <c r="G17" s="1849"/>
      <c r="H17" s="1849"/>
      <c r="I17" s="1849"/>
      <c r="J17" s="1849"/>
    </row>
    <row r="18" spans="1:10" ht="12.75">
      <c r="A18" s="1850"/>
      <c r="B18" s="1850"/>
      <c r="C18" s="1850"/>
      <c r="D18" s="1850"/>
      <c r="E18" s="1850"/>
      <c r="F18" s="1850"/>
      <c r="G18" s="1850"/>
      <c r="H18" s="1850"/>
      <c r="I18" s="1850"/>
      <c r="J18" s="1850"/>
    </row>
    <row r="19" spans="1:10" ht="12.75">
      <c r="A19" s="1850"/>
      <c r="B19" s="1850"/>
      <c r="C19" s="1850"/>
      <c r="D19" s="1850"/>
      <c r="E19" s="1850"/>
      <c r="F19" s="1850"/>
      <c r="G19" s="1850"/>
      <c r="H19" s="1850"/>
      <c r="I19" s="1850"/>
      <c r="J19" s="1850"/>
    </row>
    <row r="20" spans="1:10" ht="12.75">
      <c r="A20" s="1850"/>
      <c r="B20" s="1850"/>
      <c r="C20" s="1850"/>
      <c r="D20" s="1850"/>
      <c r="E20" s="1850"/>
      <c r="F20" s="1850"/>
      <c r="G20" s="1850"/>
      <c r="H20" s="1850"/>
      <c r="I20" s="1850"/>
      <c r="J20" s="1850"/>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851" t="s">
        <v>1398</v>
      </c>
      <c r="B23" s="1845"/>
      <c r="C23" s="1845"/>
      <c r="D23" s="1845"/>
      <c r="E23" s="18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841" t="s">
        <v>1399</v>
      </c>
      <c r="B60" s="1842"/>
      <c r="C60" s="1842"/>
      <c r="D60" s="1842"/>
      <c r="E60" s="1842"/>
      <c r="F60" s="1842"/>
      <c r="G60" s="1842"/>
      <c r="H60" s="1842"/>
      <c r="I60" s="1842"/>
      <c r="J60" s="1842"/>
    </row>
    <row r="61" spans="1:10" ht="12.75">
      <c r="A61" s="1842"/>
      <c r="B61" s="1842"/>
      <c r="C61" s="1842"/>
      <c r="D61" s="1842"/>
      <c r="E61" s="1842"/>
      <c r="F61" s="1842"/>
      <c r="G61" s="1842"/>
      <c r="H61" s="1842"/>
      <c r="I61" s="1842"/>
      <c r="J61" s="1842"/>
    </row>
    <row r="62" spans="1:10" ht="12.75">
      <c r="A62" s="1842"/>
      <c r="B62" s="1842"/>
      <c r="C62" s="1842"/>
      <c r="D62" s="1842"/>
      <c r="E62" s="1842"/>
      <c r="F62" s="1842"/>
      <c r="G62" s="1842"/>
      <c r="H62" s="1842"/>
      <c r="I62" s="1842"/>
      <c r="J62" s="1842"/>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843" t="s">
        <v>1400</v>
      </c>
      <c r="B75" s="1843"/>
      <c r="C75" s="1843"/>
      <c r="D75" s="1843"/>
      <c r="E75" s="1843"/>
      <c r="F75" s="1843"/>
      <c r="G75" s="1843"/>
      <c r="H75" s="1843"/>
      <c r="I75" s="1843"/>
    </row>
    <row r="76" spans="1:9" ht="12.75">
      <c r="A76" s="1767" t="s">
        <v>1098</v>
      </c>
      <c r="B76" s="1767"/>
      <c r="C76" s="1767"/>
      <c r="D76" s="1767"/>
      <c r="E76" s="1767"/>
    </row>
    <row r="77" spans="1:9" ht="12.75">
      <c r="A77" s="1767" t="s">
        <v>1401</v>
      </c>
      <c r="B77" s="1767"/>
      <c r="C77" s="1767"/>
      <c r="D77" s="1767"/>
      <c r="E77" s="1767"/>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19050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51C3D-1D17-475F-8374-5ECEC82959CA}">
  <dimension ref="A1:K1935"/>
  <sheetViews>
    <sheetView showGridLines="0" zoomScaleNormal="100" zoomScaleSheetLayoutView="100" workbookViewId="0">
      <selection activeCell="D587" sqref="D587:F588"/>
    </sheetView>
  </sheetViews>
  <sheetFormatPr defaultColWidth="8.7109375" defaultRowHeight="12.75" zeroHeight="1"/>
  <cols>
    <col min="1" max="1" width="3.5703125" style="1702" customWidth="1"/>
    <col min="2" max="2" width="13.5703125" style="1702" customWidth="1"/>
    <col min="3" max="3" width="2.5703125" style="1702" customWidth="1"/>
    <col min="4" max="5" width="3.5703125" style="1639" customWidth="1"/>
    <col min="6" max="6" width="65.5703125" style="1639" customWidth="1"/>
    <col min="7" max="7" width="1.5703125" style="1639" customWidth="1"/>
    <col min="8" max="8" width="3.5703125" style="1639" customWidth="1"/>
    <col min="9" max="9" width="14" style="1639" customWidth="1"/>
    <col min="10" max="16384" width="8.7109375" style="1639"/>
  </cols>
  <sheetData>
    <row r="1" spans="1:7"/>
    <row r="2" spans="1:7">
      <c r="A2" s="1852" t="s">
        <v>2260</v>
      </c>
      <c r="B2" s="1852"/>
      <c r="C2" s="1853"/>
      <c r="D2" s="1853"/>
      <c r="E2" s="1853"/>
      <c r="F2" s="1853"/>
      <c r="G2" s="1853"/>
    </row>
    <row r="3" spans="1:7">
      <c r="A3" s="1854" t="s">
        <v>2261</v>
      </c>
      <c r="B3" s="1854"/>
      <c r="C3" s="1853"/>
      <c r="D3" s="1853"/>
      <c r="E3" s="1853"/>
      <c r="F3" s="1853"/>
      <c r="G3" s="1853"/>
    </row>
    <row r="4" spans="1:7">
      <c r="A4" s="1854"/>
      <c r="B4" s="1854"/>
      <c r="C4" s="1853"/>
      <c r="D4" s="1853"/>
      <c r="E4" s="1853"/>
      <c r="F4" s="1853"/>
      <c r="G4" s="1853"/>
    </row>
    <row r="5" spans="1:7">
      <c r="A5" s="1854"/>
      <c r="B5" s="1854"/>
      <c r="C5" s="1853"/>
      <c r="D5" s="1853"/>
      <c r="E5" s="1853"/>
      <c r="F5" s="1853"/>
      <c r="G5" s="1853"/>
    </row>
    <row r="6" spans="1:7">
      <c r="A6" s="1852" t="s">
        <v>1259</v>
      </c>
      <c r="B6" s="1852"/>
      <c r="C6" s="1855"/>
      <c r="D6" s="1855"/>
      <c r="E6" s="1855"/>
      <c r="F6" s="1855"/>
      <c r="G6" s="1855"/>
    </row>
    <row r="7" spans="1:7">
      <c r="A7" s="1852" t="s">
        <v>1260</v>
      </c>
      <c r="B7" s="1852"/>
      <c r="C7" s="1855"/>
      <c r="D7" s="1855"/>
      <c r="E7" s="1855"/>
      <c r="F7" s="1855"/>
      <c r="G7" s="1855"/>
    </row>
    <row r="8" spans="1:7">
      <c r="A8" s="1695"/>
      <c r="B8" s="1695"/>
      <c r="C8" s="1734"/>
      <c r="D8" s="1734"/>
      <c r="E8" s="1734"/>
      <c r="F8" s="1734"/>
    </row>
    <row r="9" spans="1:7">
      <c r="A9" s="1817" t="s">
        <v>1262</v>
      </c>
      <c r="B9" s="1817"/>
      <c r="C9" s="1817"/>
      <c r="D9" s="1817"/>
      <c r="E9" s="1817"/>
      <c r="F9" s="1817"/>
      <c r="G9" s="1817"/>
    </row>
    <row r="10" spans="1:7">
      <c r="A10" s="1734"/>
      <c r="B10" s="1734"/>
      <c r="E10" s="623"/>
    </row>
    <row r="11" spans="1:7" ht="13.9" customHeight="1">
      <c r="C11" s="1734"/>
      <c r="D11" s="1856" t="s">
        <v>1261</v>
      </c>
      <c r="E11" s="1856"/>
      <c r="F11" s="1856"/>
    </row>
    <row r="12" spans="1:7">
      <c r="C12" s="1734"/>
      <c r="D12" s="1856"/>
      <c r="E12" s="1856"/>
      <c r="F12" s="1856"/>
    </row>
    <row r="13" spans="1:7">
      <c r="A13" s="783"/>
      <c r="B13" s="783"/>
      <c r="C13" s="783"/>
      <c r="D13" s="1857" t="s">
        <v>1244</v>
      </c>
      <c r="E13" s="1857"/>
      <c r="F13" s="1857"/>
    </row>
    <row r="14" spans="1:7">
      <c r="A14" s="783"/>
      <c r="B14" s="783"/>
      <c r="C14" s="783"/>
      <c r="D14" s="1640"/>
    </row>
    <row r="15" spans="1:7" ht="14.25">
      <c r="A15" s="1726"/>
      <c r="B15" s="1703" t="s">
        <v>2595</v>
      </c>
      <c r="C15" s="783"/>
      <c r="D15" s="1858" t="s">
        <v>1245</v>
      </c>
      <c r="E15" s="1858"/>
      <c r="F15" s="1858"/>
    </row>
    <row r="16" spans="1:7">
      <c r="A16" s="783"/>
      <c r="B16" s="783"/>
      <c r="C16" s="783"/>
      <c r="D16" s="1858"/>
      <c r="E16" s="1858"/>
      <c r="F16" s="1858"/>
    </row>
    <row r="17" spans="1:6">
      <c r="A17" s="783"/>
      <c r="B17" s="783"/>
      <c r="C17" s="783"/>
      <c r="D17" s="1858"/>
      <c r="E17" s="1858"/>
      <c r="F17" s="1858"/>
    </row>
    <row r="18" spans="1:6">
      <c r="A18" s="783"/>
      <c r="B18" s="783"/>
      <c r="C18" s="783"/>
    </row>
    <row r="19" spans="1:6" ht="14.25">
      <c r="A19" s="1726"/>
      <c r="B19" s="1703" t="s">
        <v>2595</v>
      </c>
      <c r="D19" s="1859" t="s">
        <v>1246</v>
      </c>
      <c r="E19" s="1859"/>
      <c r="F19" s="1859"/>
    </row>
    <row r="20" spans="1:6" ht="14.25">
      <c r="A20" s="1726"/>
      <c r="B20" s="1726"/>
      <c r="D20" s="1727"/>
    </row>
    <row r="21" spans="1:6" ht="14.25">
      <c r="A21" s="1726"/>
      <c r="B21" s="1703" t="s">
        <v>2596</v>
      </c>
      <c r="D21" s="1858" t="s">
        <v>1247</v>
      </c>
      <c r="E21" s="1858"/>
      <c r="F21" s="1858"/>
    </row>
    <row r="22" spans="1:6" ht="14.25">
      <c r="A22" s="1726"/>
      <c r="B22" s="1726"/>
      <c r="D22" s="1858"/>
      <c r="E22" s="1858"/>
      <c r="F22" s="1858"/>
    </row>
    <row r="23" spans="1:6"/>
    <row r="24" spans="1:6" ht="14.25">
      <c r="A24" s="1726"/>
      <c r="B24" s="1703" t="s">
        <v>2595</v>
      </c>
      <c r="D24" s="1858" t="s">
        <v>1248</v>
      </c>
      <c r="E24" s="1858"/>
      <c r="F24" s="1858"/>
    </row>
    <row r="25" spans="1:6">
      <c r="D25" s="1858"/>
      <c r="E25" s="1858"/>
      <c r="F25" s="1858"/>
    </row>
    <row r="26" spans="1:6">
      <c r="D26" s="1858"/>
      <c r="E26" s="1858"/>
      <c r="F26" s="1858"/>
    </row>
    <row r="27" spans="1:6">
      <c r="D27" s="1858"/>
      <c r="E27" s="1858"/>
      <c r="F27" s="1858"/>
    </row>
    <row r="28" spans="1:6">
      <c r="D28" s="1858"/>
      <c r="E28" s="1858"/>
      <c r="F28" s="1858"/>
    </row>
    <row r="29" spans="1:6">
      <c r="D29" s="1724"/>
    </row>
    <row r="30" spans="1:6">
      <c r="B30" s="1703" t="s">
        <v>2596</v>
      </c>
      <c r="D30" s="1858" t="s">
        <v>1249</v>
      </c>
      <c r="E30" s="1858"/>
      <c r="F30" s="1858"/>
    </row>
    <row r="31" spans="1:6">
      <c r="D31" s="1858"/>
      <c r="E31" s="1858"/>
      <c r="F31" s="1858"/>
    </row>
    <row r="32" spans="1:6" ht="14.25">
      <c r="A32" s="1726"/>
      <c r="B32" s="1726"/>
      <c r="D32" s="1724"/>
    </row>
    <row r="33" spans="1:6" ht="14.65" customHeight="1">
      <c r="A33" s="1726"/>
      <c r="B33" s="1703" t="s">
        <v>2596</v>
      </c>
      <c r="D33" s="1858" t="s">
        <v>1432</v>
      </c>
      <c r="E33" s="1858"/>
      <c r="F33" s="1858"/>
    </row>
    <row r="34" spans="1:6" ht="14.25">
      <c r="A34" s="1726"/>
      <c r="B34" s="1726"/>
      <c r="D34" s="1858"/>
      <c r="E34" s="1858"/>
      <c r="F34" s="1858"/>
    </row>
    <row r="35" spans="1:6" ht="14.25">
      <c r="A35" s="1726"/>
      <c r="B35" s="1726"/>
      <c r="D35" s="1858"/>
      <c r="E35" s="1858"/>
      <c r="F35" s="1858"/>
    </row>
    <row r="36" spans="1:6" ht="14.25">
      <c r="A36" s="1726"/>
      <c r="B36" s="1726"/>
      <c r="D36" s="1858"/>
      <c r="E36" s="1858"/>
      <c r="F36" s="1858"/>
    </row>
    <row r="37" spans="1:6" ht="14.25">
      <c r="A37" s="1726"/>
      <c r="B37" s="1726"/>
    </row>
    <row r="38" spans="1:6" ht="14.25">
      <c r="A38" s="1726"/>
      <c r="B38" s="1703" t="s">
        <v>2596</v>
      </c>
      <c r="D38" s="1858" t="s">
        <v>1251</v>
      </c>
      <c r="E38" s="1858"/>
      <c r="F38" s="1858"/>
    </row>
    <row r="39" spans="1:6" ht="14.25">
      <c r="A39" s="1726"/>
      <c r="B39" s="1726"/>
      <c r="D39" s="1858"/>
      <c r="E39" s="1858"/>
      <c r="F39" s="1858"/>
    </row>
    <row r="40" spans="1:6" ht="14.25">
      <c r="A40" s="1726"/>
      <c r="B40" s="1726"/>
      <c r="D40" s="1858"/>
      <c r="E40" s="1858"/>
      <c r="F40" s="1858"/>
    </row>
    <row r="41" spans="1:6" ht="14.25">
      <c r="A41" s="1726"/>
      <c r="B41" s="1726"/>
      <c r="D41" s="1858"/>
      <c r="E41" s="1858"/>
      <c r="F41" s="1858"/>
    </row>
    <row r="42" spans="1:6" ht="14.25">
      <c r="A42" s="1726"/>
      <c r="B42" s="1726"/>
      <c r="D42" s="1858"/>
      <c r="E42" s="1858"/>
      <c r="F42" s="1858"/>
    </row>
    <row r="43" spans="1:6" ht="14.25">
      <c r="A43" s="1726"/>
      <c r="B43" s="1726"/>
      <c r="D43" s="1701"/>
      <c r="E43" s="1701"/>
      <c r="F43" s="1701"/>
    </row>
    <row r="44" spans="1:6" ht="14.25">
      <c r="A44" s="1726"/>
      <c r="B44" s="1703" t="s">
        <v>2596</v>
      </c>
      <c r="D44" s="1858" t="s">
        <v>1252</v>
      </c>
      <c r="E44" s="1858"/>
      <c r="F44" s="1858"/>
    </row>
    <row r="45" spans="1:6" ht="14.25">
      <c r="A45" s="1726"/>
      <c r="B45" s="1726"/>
      <c r="D45" s="1858"/>
      <c r="E45" s="1858"/>
      <c r="F45" s="1858"/>
    </row>
    <row r="46" spans="1:6" ht="14.25">
      <c r="A46" s="1726"/>
      <c r="B46" s="1726"/>
      <c r="D46" s="1858"/>
      <c r="E46" s="1858"/>
      <c r="F46" s="1858"/>
    </row>
    <row r="47" spans="1:6" ht="23.25" customHeight="1">
      <c r="A47" s="1726"/>
      <c r="B47" s="1726"/>
      <c r="D47" s="1858"/>
      <c r="E47" s="1858"/>
      <c r="F47" s="1858"/>
    </row>
    <row r="48" spans="1:6" ht="14.25">
      <c r="A48" s="1726"/>
      <c r="B48" s="1726"/>
      <c r="D48" s="1727"/>
    </row>
    <row r="49" spans="1:6" ht="14.65" customHeight="1">
      <c r="A49" s="1726"/>
      <c r="B49" s="1703" t="s">
        <v>2596</v>
      </c>
      <c r="D49" s="1858" t="s">
        <v>1253</v>
      </c>
      <c r="E49" s="1858"/>
      <c r="F49" s="1858"/>
    </row>
    <row r="50" spans="1:6" ht="14.25">
      <c r="A50" s="1726"/>
      <c r="B50" s="1726"/>
      <c r="D50" s="1858"/>
      <c r="E50" s="1858"/>
      <c r="F50" s="1858"/>
    </row>
    <row r="51" spans="1:6" ht="14.25">
      <c r="A51" s="1726"/>
      <c r="B51" s="1726"/>
      <c r="D51" s="1858"/>
      <c r="E51" s="1858"/>
      <c r="F51" s="1858"/>
    </row>
    <row r="52" spans="1:6" ht="14.25">
      <c r="A52" s="1726"/>
      <c r="B52" s="1726"/>
    </row>
    <row r="53" spans="1:6" ht="14.25">
      <c r="A53" s="1726"/>
      <c r="B53" s="1703" t="s">
        <v>2595</v>
      </c>
      <c r="D53" s="1858" t="s">
        <v>1254</v>
      </c>
      <c r="E53" s="1858"/>
      <c r="F53" s="1858"/>
    </row>
    <row r="54" spans="1:6" ht="14.25">
      <c r="A54" s="1726"/>
      <c r="B54" s="1726"/>
      <c r="D54" s="1858"/>
      <c r="E54" s="1858"/>
      <c r="F54" s="1858"/>
    </row>
    <row r="55" spans="1:6">
      <c r="D55" s="1724"/>
    </row>
    <row r="56" spans="1:6" ht="14.25">
      <c r="A56" s="1726"/>
      <c r="B56" s="1703" t="s">
        <v>2596</v>
      </c>
      <c r="D56" s="1858" t="s">
        <v>1255</v>
      </c>
      <c r="E56" s="1858"/>
      <c r="F56" s="1858"/>
    </row>
    <row r="57" spans="1:6">
      <c r="D57" s="1858"/>
      <c r="E57" s="1858"/>
      <c r="F57" s="1858"/>
    </row>
    <row r="58" spans="1:6">
      <c r="D58" s="1858"/>
      <c r="E58" s="1858"/>
      <c r="F58" s="1858"/>
    </row>
    <row r="59" spans="1:6"/>
    <row r="60" spans="1:6" ht="14.25">
      <c r="A60" s="1726"/>
      <c r="B60" s="1703" t="s">
        <v>2595</v>
      </c>
      <c r="D60" s="1858" t="s">
        <v>1256</v>
      </c>
      <c r="E60" s="1858"/>
      <c r="F60" s="1858"/>
    </row>
    <row r="61" spans="1:6">
      <c r="D61" s="1858"/>
      <c r="E61" s="1858"/>
      <c r="F61" s="1858"/>
    </row>
    <row r="62" spans="1:6"/>
    <row r="63" spans="1:6" ht="14.25">
      <c r="A63" s="1726"/>
      <c r="B63" s="1703" t="s">
        <v>2595</v>
      </c>
      <c r="D63" s="1858" t="s">
        <v>1257</v>
      </c>
      <c r="E63" s="1858"/>
      <c r="F63" s="1858"/>
    </row>
    <row r="64" spans="1:6">
      <c r="D64" s="1858"/>
      <c r="E64" s="1858"/>
      <c r="F64" s="1858"/>
    </row>
    <row r="65" spans="1:7">
      <c r="D65" s="1858"/>
      <c r="E65" s="1858"/>
      <c r="F65" s="1858"/>
    </row>
    <row r="66" spans="1:7"/>
    <row r="67" spans="1:7" ht="14.25">
      <c r="A67" s="1726"/>
      <c r="B67" s="1703" t="s">
        <v>2595</v>
      </c>
      <c r="D67" s="1858" t="s">
        <v>1258</v>
      </c>
      <c r="E67" s="1858"/>
      <c r="F67" s="1858"/>
    </row>
    <row r="68" spans="1:7">
      <c r="D68" s="1858"/>
      <c r="E68" s="1858"/>
      <c r="F68" s="1858"/>
    </row>
    <row r="69" spans="1:7" ht="14.25">
      <c r="A69" s="1726"/>
      <c r="B69" s="1726"/>
      <c r="D69" s="1727"/>
    </row>
    <row r="70" spans="1:7">
      <c r="A70" s="1817" t="s">
        <v>1165</v>
      </c>
      <c r="B70" s="1817"/>
      <c r="C70" s="1817"/>
      <c r="D70" s="1817"/>
      <c r="E70" s="1817"/>
      <c r="F70" s="1817"/>
      <c r="G70" s="1817"/>
    </row>
    <row r="71" spans="1:7"/>
    <row r="72" spans="1:7">
      <c r="C72" s="1748"/>
      <c r="D72" s="1860" t="s">
        <v>1263</v>
      </c>
      <c r="E72" s="1860"/>
      <c r="F72" s="1860"/>
    </row>
    <row r="73" spans="1:7">
      <c r="A73" s="1727"/>
      <c r="B73" s="1727"/>
      <c r="D73" s="1858" t="s">
        <v>1290</v>
      </c>
      <c r="E73" s="1858"/>
      <c r="F73" s="1858"/>
    </row>
    <row r="74" spans="1:7">
      <c r="A74" s="1727"/>
      <c r="B74" s="1727"/>
    </row>
    <row r="75" spans="1:7" ht="13.9" customHeight="1">
      <c r="A75" s="1726"/>
      <c r="B75" s="1703" t="s">
        <v>2595</v>
      </c>
      <c r="D75" s="1858" t="s">
        <v>1482</v>
      </c>
      <c r="E75" s="1858"/>
      <c r="F75" s="1858"/>
    </row>
    <row r="76" spans="1:7" ht="14.25">
      <c r="A76" s="1726"/>
      <c r="B76" s="1726"/>
      <c r="D76" s="1858"/>
      <c r="E76" s="1858"/>
      <c r="F76" s="1858"/>
    </row>
    <row r="77" spans="1:7" ht="14.25">
      <c r="A77" s="1726"/>
      <c r="B77" s="1726"/>
      <c r="D77" s="1858"/>
      <c r="E77" s="1858"/>
      <c r="F77" s="1858"/>
    </row>
    <row r="78" spans="1:7" ht="14.25">
      <c r="A78" s="1726"/>
      <c r="B78" s="1726"/>
      <c r="D78" s="1858"/>
      <c r="E78" s="1858"/>
      <c r="F78" s="1858"/>
    </row>
    <row r="79" spans="1:7" ht="14.25">
      <c r="A79" s="1726"/>
      <c r="B79" s="1726"/>
      <c r="D79" s="1858"/>
      <c r="E79" s="1858"/>
      <c r="F79" s="1858"/>
    </row>
    <row r="80" spans="1:7" ht="14.25">
      <c r="A80" s="1726"/>
      <c r="B80" s="1726"/>
      <c r="D80" s="1858"/>
      <c r="E80" s="1858"/>
      <c r="F80" s="1858"/>
    </row>
    <row r="81" spans="1:6" ht="14.25">
      <c r="A81" s="1726"/>
      <c r="B81" s="1726"/>
      <c r="D81" s="1858"/>
      <c r="E81" s="1858"/>
      <c r="F81" s="1858"/>
    </row>
    <row r="82" spans="1:6" ht="14.25">
      <c r="A82" s="1726"/>
      <c r="B82" s="1726"/>
      <c r="D82" s="1858"/>
      <c r="E82" s="1858"/>
      <c r="F82" s="1858"/>
    </row>
    <row r="83" spans="1:6" ht="14.25">
      <c r="A83" s="1726"/>
      <c r="B83" s="1726"/>
      <c r="D83" s="1737"/>
      <c r="E83" s="1737"/>
      <c r="F83" s="1737"/>
    </row>
    <row r="84" spans="1:6" ht="15" customHeight="1">
      <c r="A84" s="1726"/>
      <c r="B84" s="1703" t="s">
        <v>2595</v>
      </c>
      <c r="D84" s="1858" t="s">
        <v>2262</v>
      </c>
      <c r="E84" s="1858"/>
      <c r="F84" s="1858"/>
    </row>
    <row r="85" spans="1:6" ht="14.25">
      <c r="A85" s="1726"/>
      <c r="B85" s="1726"/>
      <c r="D85" s="1858"/>
      <c r="E85" s="1858"/>
      <c r="F85" s="1858"/>
    </row>
    <row r="86" spans="1:6" ht="14.25">
      <c r="A86" s="1726"/>
      <c r="B86" s="1726"/>
      <c r="D86" s="1701"/>
      <c r="E86" s="1701"/>
      <c r="F86" s="1701"/>
    </row>
    <row r="87" spans="1:6" ht="14.25">
      <c r="A87" s="1726"/>
      <c r="B87" s="1703" t="s">
        <v>2596</v>
      </c>
      <c r="D87" s="1858" t="s">
        <v>2266</v>
      </c>
      <c r="E87" s="1858"/>
      <c r="F87" s="1858"/>
    </row>
    <row r="88" spans="1:6" ht="14.25">
      <c r="A88" s="1726"/>
      <c r="B88" s="1726"/>
      <c r="D88" s="1858"/>
      <c r="E88" s="1858"/>
      <c r="F88" s="1858"/>
    </row>
    <row r="89" spans="1:6" ht="14.25">
      <c r="A89" s="1726"/>
      <c r="B89" s="1726"/>
      <c r="D89" s="1858"/>
      <c r="E89" s="1858"/>
      <c r="F89" s="1858"/>
    </row>
    <row r="90" spans="1:6" ht="14.25">
      <c r="A90" s="1726"/>
      <c r="B90" s="1726"/>
      <c r="D90" s="1701"/>
      <c r="E90" s="1701"/>
      <c r="F90" s="1701"/>
    </row>
    <row r="91" spans="1:6" ht="14.25">
      <c r="A91" s="1726"/>
      <c r="B91" s="1703" t="s">
        <v>2596</v>
      </c>
      <c r="D91" s="1858" t="s">
        <v>2264</v>
      </c>
      <c r="E91" s="1858"/>
      <c r="F91" s="1858"/>
    </row>
    <row r="92" spans="1:6" s="1754" customFormat="1" ht="14.25">
      <c r="A92" s="1756"/>
      <c r="B92" s="1756"/>
      <c r="C92" s="1755"/>
      <c r="D92" s="1858"/>
      <c r="E92" s="1858"/>
      <c r="F92" s="1858"/>
    </row>
    <row r="93" spans="1:6" ht="14.25">
      <c r="A93" s="1726"/>
      <c r="B93" s="1726"/>
      <c r="D93" s="1750"/>
      <c r="E93" s="1696" t="s">
        <v>2265</v>
      </c>
      <c r="F93" s="1701"/>
    </row>
    <row r="94" spans="1:6" ht="14.25">
      <c r="A94" s="1726"/>
      <c r="B94" s="1726"/>
      <c r="D94" s="1737"/>
      <c r="E94" s="1737"/>
      <c r="F94" s="1737"/>
    </row>
    <row r="95" spans="1:6" ht="14.25">
      <c r="A95" s="1726"/>
      <c r="B95" s="1703" t="s">
        <v>2596</v>
      </c>
      <c r="D95" s="1858" t="s">
        <v>2263</v>
      </c>
      <c r="E95" s="1858"/>
      <c r="F95" s="1858"/>
    </row>
    <row r="96" spans="1:6" ht="14.25">
      <c r="A96" s="1726"/>
      <c r="B96" s="1726"/>
      <c r="D96" s="1858"/>
      <c r="E96" s="1858"/>
      <c r="F96" s="1858"/>
    </row>
    <row r="97" spans="1:6" ht="14.25">
      <c r="A97" s="1726"/>
      <c r="B97" s="1726"/>
      <c r="D97" s="1701"/>
      <c r="E97" s="1701"/>
      <c r="F97" s="1701"/>
    </row>
    <row r="98" spans="1:6" ht="14.65" customHeight="1">
      <c r="A98" s="1726"/>
      <c r="B98" s="1703" t="s">
        <v>2596</v>
      </c>
      <c r="D98" s="1858" t="s">
        <v>1407</v>
      </c>
      <c r="E98" s="1858"/>
      <c r="F98" s="1858"/>
    </row>
    <row r="99" spans="1:6" ht="14.25">
      <c r="A99" s="1726"/>
      <c r="B99" s="1726"/>
      <c r="D99" s="1858"/>
      <c r="E99" s="1858"/>
      <c r="F99" s="1858"/>
    </row>
    <row r="100" spans="1:6" ht="14.25">
      <c r="A100" s="1726"/>
      <c r="B100" s="1726"/>
      <c r="D100" s="1858"/>
      <c r="E100" s="1858"/>
      <c r="F100" s="1858"/>
    </row>
    <row r="101" spans="1:6" ht="14.25">
      <c r="A101" s="1726"/>
      <c r="B101" s="1726"/>
      <c r="D101" s="1858"/>
      <c r="E101" s="1858"/>
      <c r="F101" s="1858"/>
    </row>
    <row r="102" spans="1:6" ht="14.25">
      <c r="A102" s="1726"/>
      <c r="B102" s="1726"/>
      <c r="D102" s="1858"/>
      <c r="E102" s="1858"/>
      <c r="F102" s="1858"/>
    </row>
    <row r="103" spans="1:6" ht="14.25">
      <c r="A103" s="1726"/>
      <c r="B103" s="1726"/>
      <c r="D103" s="1858"/>
      <c r="E103" s="1858"/>
      <c r="F103" s="1858"/>
    </row>
    <row r="104" spans="1:6" ht="14.25">
      <c r="A104" s="1726"/>
      <c r="B104" s="1726"/>
      <c r="D104" s="1858"/>
      <c r="E104" s="1858"/>
      <c r="F104" s="1858"/>
    </row>
    <row r="105" spans="1:6" ht="14.25">
      <c r="A105" s="1726"/>
      <c r="B105" s="1726"/>
      <c r="D105" s="1858"/>
      <c r="E105" s="1858"/>
      <c r="F105" s="1858"/>
    </row>
    <row r="106" spans="1:6" ht="14.25">
      <c r="A106" s="1726"/>
      <c r="B106" s="1726"/>
      <c r="D106" s="1858"/>
      <c r="E106" s="1858"/>
      <c r="F106" s="1858"/>
    </row>
    <row r="107" spans="1:6" ht="14.25">
      <c r="A107" s="1726"/>
      <c r="B107" s="1726"/>
      <c r="D107" s="1858"/>
      <c r="E107" s="1858"/>
      <c r="F107" s="1858"/>
    </row>
    <row r="108" spans="1:6" ht="14.25">
      <c r="A108" s="1726"/>
      <c r="B108" s="1726"/>
      <c r="D108" s="1858"/>
      <c r="E108" s="1858"/>
      <c r="F108" s="1858"/>
    </row>
    <row r="109" spans="1:6" ht="14.25">
      <c r="A109" s="1726"/>
      <c r="B109" s="1726"/>
      <c r="D109" s="1858"/>
      <c r="E109" s="1858"/>
      <c r="F109" s="1858"/>
    </row>
    <row r="110" spans="1:6" ht="14.25">
      <c r="A110" s="1726"/>
      <c r="B110" s="1726"/>
      <c r="D110" s="1858"/>
      <c r="E110" s="1858"/>
      <c r="F110" s="1858"/>
    </row>
    <row r="111" spans="1:6" ht="14.25">
      <c r="A111" s="1726"/>
      <c r="B111" s="1726"/>
      <c r="D111" s="1858"/>
      <c r="E111" s="1858"/>
      <c r="F111" s="1858"/>
    </row>
    <row r="112" spans="1:6" ht="14.25">
      <c r="A112" s="1726"/>
      <c r="B112" s="1726"/>
      <c r="D112" s="1858"/>
      <c r="E112" s="1858"/>
      <c r="F112" s="1858"/>
    </row>
    <row r="113" spans="1:6" ht="14.25">
      <c r="A113" s="1726"/>
      <c r="B113" s="1726"/>
      <c r="D113" s="1744"/>
      <c r="E113" s="1744"/>
      <c r="F113" s="1744"/>
    </row>
    <row r="114" spans="1:6" ht="14.25" customHeight="1">
      <c r="A114" s="1726"/>
      <c r="B114" s="1703" t="s">
        <v>2596</v>
      </c>
      <c r="D114" s="1861" t="s">
        <v>1265</v>
      </c>
      <c r="E114" s="1861"/>
      <c r="F114" s="1861"/>
    </row>
    <row r="115" spans="1:6" ht="14.25">
      <c r="A115" s="1726"/>
      <c r="B115" s="1726"/>
      <c r="D115" s="1861"/>
      <c r="E115" s="1861"/>
      <c r="F115" s="1861"/>
    </row>
    <row r="116" spans="1:6" ht="14.25">
      <c r="A116" s="1726"/>
      <c r="B116" s="1726"/>
      <c r="D116" s="1861"/>
      <c r="E116" s="1861"/>
      <c r="F116" s="1861"/>
    </row>
    <row r="117" spans="1:6" ht="14.25">
      <c r="A117" s="1726"/>
      <c r="B117" s="1726"/>
      <c r="D117" s="1861"/>
      <c r="E117" s="1861"/>
      <c r="F117" s="1861"/>
    </row>
    <row r="118" spans="1:6" ht="14.25">
      <c r="A118" s="1726"/>
      <c r="B118" s="1726"/>
      <c r="D118" s="1861"/>
      <c r="E118" s="1861"/>
      <c r="F118" s="1861"/>
    </row>
    <row r="119" spans="1:6" ht="14.25">
      <c r="A119" s="1726"/>
      <c r="B119" s="1726"/>
      <c r="D119" s="1861"/>
      <c r="E119" s="1861"/>
      <c r="F119" s="1861"/>
    </row>
    <row r="120" spans="1:6" ht="14.25">
      <c r="A120" s="1726"/>
      <c r="B120" s="1726"/>
      <c r="D120" s="1861"/>
      <c r="E120" s="1861"/>
      <c r="F120" s="1861"/>
    </row>
    <row r="121" spans="1:6" ht="14.25">
      <c r="A121" s="1726"/>
      <c r="B121" s="1726"/>
      <c r="D121" s="1861"/>
      <c r="E121" s="1861"/>
      <c r="F121" s="1861"/>
    </row>
    <row r="122" spans="1:6">
      <c r="C122" s="1639"/>
      <c r="D122" s="1753"/>
      <c r="E122" s="1753"/>
      <c r="F122" s="1753"/>
    </row>
    <row r="123" spans="1:6" ht="14.25">
      <c r="A123" s="1726"/>
      <c r="B123" s="1703" t="s">
        <v>2595</v>
      </c>
      <c r="C123" s="1639"/>
      <c r="D123" s="1861" t="s">
        <v>1267</v>
      </c>
      <c r="E123" s="1861"/>
      <c r="F123" s="1861"/>
    </row>
    <row r="124" spans="1:6" ht="14.25">
      <c r="A124" s="1726"/>
      <c r="B124" s="1726"/>
      <c r="C124" s="1639"/>
      <c r="D124" s="1861"/>
      <c r="E124" s="1861"/>
      <c r="F124" s="1861"/>
    </row>
    <row r="125" spans="1:6"/>
    <row r="126" spans="1:6" ht="14.25">
      <c r="A126" s="1726"/>
      <c r="B126" s="1703" t="s">
        <v>2595</v>
      </c>
      <c r="D126" s="1858" t="s">
        <v>1268</v>
      </c>
      <c r="E126" s="1858"/>
      <c r="F126" s="1858"/>
    </row>
    <row r="127" spans="1:6">
      <c r="D127" s="1858"/>
      <c r="E127" s="1858"/>
      <c r="F127" s="1858"/>
    </row>
    <row r="128" spans="1:6">
      <c r="D128" s="1858"/>
      <c r="E128" s="1858"/>
      <c r="F128" s="1858"/>
    </row>
    <row r="129" spans="1:6">
      <c r="D129" s="1858"/>
      <c r="E129" s="1858"/>
      <c r="F129" s="1858"/>
    </row>
    <row r="130" spans="1:6">
      <c r="D130" s="1858"/>
      <c r="E130" s="1858"/>
      <c r="F130" s="1858"/>
    </row>
    <row r="131" spans="1:6"/>
    <row r="132" spans="1:6" ht="14.25">
      <c r="A132" s="1726"/>
      <c r="B132" s="1703" t="s">
        <v>2595</v>
      </c>
      <c r="D132" s="1858" t="s">
        <v>1269</v>
      </c>
      <c r="E132" s="1858"/>
      <c r="F132" s="1858"/>
    </row>
    <row r="133" spans="1:6" s="784" customFormat="1" ht="13.9" customHeight="1">
      <c r="A133" s="1752"/>
      <c r="B133" s="1752"/>
      <c r="C133" s="1752"/>
      <c r="D133" s="1858"/>
      <c r="E133" s="1858"/>
      <c r="F133" s="1858"/>
    </row>
    <row r="134" spans="1:6" ht="13.9" customHeight="1">
      <c r="D134" s="1858"/>
      <c r="E134" s="1858"/>
      <c r="F134" s="1858"/>
    </row>
    <row r="135" spans="1:6" ht="13.9" customHeight="1">
      <c r="D135" s="1858"/>
      <c r="E135" s="1858"/>
      <c r="F135" s="1858"/>
    </row>
    <row r="136" spans="1:6" ht="13.9" customHeight="1">
      <c r="D136" s="1858"/>
      <c r="E136" s="1858"/>
      <c r="F136" s="1858"/>
    </row>
    <row r="137" spans="1:6" ht="13.9" customHeight="1">
      <c r="A137" s="1751"/>
      <c r="B137" s="1751"/>
      <c r="D137" s="1858"/>
      <c r="E137" s="1858"/>
      <c r="F137" s="1858"/>
    </row>
    <row r="138" spans="1:6" ht="13.9" customHeight="1">
      <c r="D138" s="1858"/>
      <c r="E138" s="1858"/>
      <c r="F138" s="1858"/>
    </row>
    <row r="139" spans="1:6" ht="13.9" customHeight="1">
      <c r="D139" s="1858"/>
      <c r="E139" s="1858"/>
      <c r="F139" s="1858"/>
    </row>
    <row r="140" spans="1:6" ht="13.9" customHeight="1">
      <c r="D140" s="1858"/>
      <c r="E140" s="1858"/>
      <c r="F140" s="1858"/>
    </row>
    <row r="141" spans="1:6" ht="13.9" customHeight="1">
      <c r="D141" s="1858"/>
      <c r="E141" s="1858"/>
      <c r="F141" s="1858"/>
    </row>
    <row r="142" spans="1:6" ht="13.9" customHeight="1">
      <c r="D142" s="1858"/>
      <c r="E142" s="1858"/>
      <c r="F142" s="1858"/>
    </row>
    <row r="143" spans="1:6" ht="13.9" customHeight="1">
      <c r="D143" s="1858"/>
      <c r="E143" s="1858"/>
      <c r="F143" s="1858"/>
    </row>
    <row r="144" spans="1:6" ht="13.9" customHeight="1">
      <c r="D144" s="1640"/>
      <c r="E144" s="1727"/>
      <c r="F144" s="1727"/>
    </row>
    <row r="145" spans="2:6" ht="13.9" customHeight="1">
      <c r="B145" s="1703" t="s">
        <v>2596</v>
      </c>
      <c r="D145" s="1858" t="s">
        <v>1377</v>
      </c>
      <c r="E145" s="1858"/>
      <c r="F145" s="1858"/>
    </row>
    <row r="146" spans="2:6" ht="13.9" customHeight="1">
      <c r="D146" s="1858"/>
      <c r="E146" s="1858"/>
      <c r="F146" s="1858"/>
    </row>
    <row r="147" spans="2:6" ht="13.9" customHeight="1">
      <c r="D147" s="1858"/>
      <c r="E147" s="1858"/>
      <c r="F147" s="1858"/>
    </row>
    <row r="148" spans="2:6" ht="13.9" customHeight="1">
      <c r="D148" s="1858"/>
      <c r="E148" s="1858"/>
      <c r="F148" s="1858"/>
    </row>
    <row r="149" spans="2:6" ht="13.9" customHeight="1">
      <c r="D149" s="1858"/>
      <c r="E149" s="1858"/>
      <c r="F149" s="1858"/>
    </row>
    <row r="150" spans="2:6" ht="13.9" customHeight="1">
      <c r="D150" s="1858"/>
      <c r="E150" s="1858"/>
      <c r="F150" s="1858"/>
    </row>
    <row r="151" spans="2:6" ht="13.9" customHeight="1">
      <c r="D151" s="1858"/>
      <c r="E151" s="1858"/>
      <c r="F151" s="1858"/>
    </row>
    <row r="152" spans="2:6" ht="13.9" customHeight="1">
      <c r="D152" s="1858"/>
      <c r="E152" s="1858"/>
      <c r="F152" s="1858"/>
    </row>
    <row r="153" spans="2:6" ht="13.9" customHeight="1">
      <c r="D153" s="1858"/>
      <c r="E153" s="1858"/>
      <c r="F153" s="1858"/>
    </row>
    <row r="154" spans="2:6" ht="13.9" customHeight="1">
      <c r="D154" s="1858"/>
      <c r="E154" s="1858"/>
      <c r="F154" s="1858"/>
    </row>
    <row r="155" spans="2:6" ht="13.9" customHeight="1">
      <c r="D155" s="1858"/>
      <c r="E155" s="1858"/>
      <c r="F155" s="1858"/>
    </row>
    <row r="156" spans="2:6" ht="13.9" customHeight="1">
      <c r="D156" s="1858"/>
      <c r="E156" s="1858"/>
      <c r="F156" s="1858"/>
    </row>
    <row r="157" spans="2:6" ht="13.9" customHeight="1">
      <c r="D157" s="1858"/>
      <c r="E157" s="1858"/>
      <c r="F157" s="1858"/>
    </row>
    <row r="158" spans="2:6" ht="13.9" customHeight="1">
      <c r="D158" s="1858"/>
      <c r="E158" s="1858"/>
      <c r="F158" s="1858"/>
    </row>
    <row r="159" spans="2:6" ht="13.9" customHeight="1">
      <c r="D159" s="1858"/>
      <c r="E159" s="1858"/>
      <c r="F159" s="1858"/>
    </row>
    <row r="160" spans="2:6" ht="13.9" customHeight="1">
      <c r="D160" s="1858"/>
      <c r="E160" s="1858"/>
      <c r="F160" s="1858"/>
    </row>
    <row r="161" spans="1:7" ht="13.9" customHeight="1">
      <c r="D161" s="1858"/>
      <c r="E161" s="1858"/>
      <c r="F161" s="1858"/>
    </row>
    <row r="162" spans="1:7" ht="13.9" customHeight="1">
      <c r="D162" s="1858"/>
      <c r="E162" s="1858"/>
      <c r="F162" s="1858"/>
    </row>
    <row r="163" spans="1:7" ht="13.9" customHeight="1">
      <c r="D163" s="1862" t="s">
        <v>1415</v>
      </c>
      <c r="E163" s="1862"/>
      <c r="F163" s="1862"/>
      <c r="G163" s="787"/>
    </row>
    <row r="164" spans="1:7" ht="13.9" customHeight="1">
      <c r="D164" s="1863"/>
      <c r="E164" s="1863"/>
      <c r="F164" s="1863"/>
      <c r="G164" s="1863"/>
    </row>
    <row r="165" spans="1:7" ht="14.65" customHeight="1">
      <c r="A165" s="1751"/>
      <c r="B165" s="1703" t="s">
        <v>2595</v>
      </c>
      <c r="C165" s="1640"/>
      <c r="D165" s="1864" t="s">
        <v>1443</v>
      </c>
      <c r="E165" s="1864"/>
      <c r="F165" s="1864"/>
      <c r="G165" s="1640"/>
    </row>
    <row r="166" spans="1:7" ht="14.65" customHeight="1">
      <c r="A166" s="1751"/>
      <c r="B166" s="1751"/>
      <c r="C166" s="1640"/>
      <c r="D166" s="1864"/>
      <c r="E166" s="1864"/>
      <c r="F166" s="1864"/>
      <c r="G166" s="1640"/>
    </row>
    <row r="167" spans="1:7" ht="13.9" customHeight="1">
      <c r="A167" s="1751"/>
      <c r="B167" s="1751"/>
      <c r="C167" s="1640"/>
      <c r="D167" s="1864"/>
      <c r="E167" s="1864"/>
      <c r="F167" s="1864"/>
      <c r="G167" s="1640"/>
    </row>
    <row r="168" spans="1:7" ht="13.9" customHeight="1">
      <c r="A168" s="1751"/>
      <c r="B168" s="1751"/>
      <c r="C168" s="1640"/>
      <c r="D168" s="1640"/>
      <c r="E168" s="1640"/>
      <c r="F168" s="1640"/>
      <c r="G168" s="1640"/>
    </row>
    <row r="169" spans="1:7" ht="13.9" customHeight="1">
      <c r="A169" s="1751"/>
      <c r="B169" s="1703" t="s">
        <v>2595</v>
      </c>
      <c r="C169" s="1640"/>
      <c r="D169" s="1864" t="s">
        <v>1271</v>
      </c>
      <c r="E169" s="1864"/>
      <c r="F169" s="1864"/>
      <c r="G169" s="1640"/>
    </row>
    <row r="170" spans="1:7" ht="13.9" customHeight="1">
      <c r="A170" s="1751"/>
      <c r="B170" s="1751"/>
      <c r="C170" s="1640"/>
      <c r="D170" s="1864"/>
      <c r="E170" s="1864"/>
      <c r="F170" s="1864"/>
      <c r="G170" s="1640"/>
    </row>
    <row r="171" spans="1:7" ht="13.9" customHeight="1">
      <c r="A171" s="1751"/>
      <c r="B171" s="1751"/>
      <c r="C171" s="1640"/>
      <c r="D171" s="1864"/>
      <c r="E171" s="1864"/>
      <c r="F171" s="1864"/>
      <c r="G171" s="1640"/>
    </row>
    <row r="172" spans="1:7" ht="13.9" customHeight="1">
      <c r="A172" s="1751"/>
      <c r="B172" s="1751"/>
      <c r="C172" s="1640"/>
      <c r="D172" s="1864"/>
      <c r="E172" s="1864"/>
      <c r="F172" s="1864"/>
      <c r="G172" s="1640"/>
    </row>
    <row r="173" spans="1:7" ht="13.9" customHeight="1">
      <c r="D173" s="1727"/>
      <c r="E173" s="1727"/>
      <c r="F173" s="1727"/>
    </row>
    <row r="174" spans="1:7" ht="13.9" customHeight="1">
      <c r="B174" s="1703" t="s">
        <v>2596</v>
      </c>
      <c r="D174" s="1865" t="s">
        <v>1272</v>
      </c>
      <c r="E174" s="1865"/>
      <c r="F174" s="1865"/>
    </row>
    <row r="175" spans="1:7" ht="13.9" customHeight="1">
      <c r="D175" s="1865"/>
      <c r="E175" s="1865"/>
      <c r="F175" s="1865"/>
    </row>
    <row r="176" spans="1:7" ht="13.9" customHeight="1">
      <c r="D176" s="1865"/>
      <c r="E176" s="1865"/>
      <c r="F176" s="1865"/>
    </row>
    <row r="177" spans="1:7" ht="13.9" customHeight="1">
      <c r="A177" s="1732"/>
      <c r="B177" s="1732"/>
      <c r="E177" s="1727"/>
      <c r="F177" s="1727"/>
    </row>
    <row r="178" spans="1:7">
      <c r="A178" s="1817" t="s">
        <v>1166</v>
      </c>
      <c r="B178" s="1817"/>
      <c r="C178" s="1817"/>
      <c r="D178" s="1817"/>
      <c r="E178" s="1817"/>
      <c r="F178" s="1817"/>
      <c r="G178" s="1817"/>
    </row>
    <row r="179" spans="1:7" ht="12" customHeight="1">
      <c r="D179" s="1727"/>
      <c r="E179" s="1727"/>
      <c r="F179" s="1727"/>
    </row>
    <row r="180" spans="1:7">
      <c r="B180" s="1859" t="s">
        <v>472</v>
      </c>
      <c r="C180" s="1859"/>
      <c r="D180" s="1859"/>
      <c r="E180" s="1859"/>
      <c r="F180" s="1859"/>
    </row>
    <row r="181" spans="1:7" ht="12" customHeight="1">
      <c r="A181" s="1734"/>
      <c r="B181" s="1734"/>
      <c r="C181" s="1734"/>
    </row>
    <row r="182" spans="1:7">
      <c r="A182" s="1817" t="s">
        <v>1167</v>
      </c>
      <c r="B182" s="1817"/>
      <c r="C182" s="1817"/>
      <c r="D182" s="1817"/>
      <c r="E182" s="1817"/>
      <c r="F182" s="1817"/>
      <c r="G182" s="1817"/>
    </row>
    <row r="183" spans="1:7" ht="12" customHeight="1">
      <c r="A183" s="623"/>
      <c r="B183" s="623"/>
      <c r="E183" s="623"/>
    </row>
    <row r="184" spans="1:7" ht="13.9" customHeight="1">
      <c r="A184" s="623"/>
      <c r="B184" s="623"/>
      <c r="D184" s="1860" t="s">
        <v>2267</v>
      </c>
      <c r="E184" s="1860"/>
      <c r="F184" s="1860"/>
    </row>
    <row r="185" spans="1:7">
      <c r="A185" s="623"/>
      <c r="B185" s="623"/>
      <c r="D185" s="1860"/>
      <c r="E185" s="1860"/>
      <c r="F185" s="1860"/>
    </row>
    <row r="186" spans="1:7">
      <c r="A186" s="623"/>
      <c r="B186" s="623"/>
      <c r="D186" s="1859" t="s">
        <v>1408</v>
      </c>
      <c r="E186" s="1859"/>
      <c r="F186" s="1859"/>
    </row>
    <row r="187" spans="1:7">
      <c r="A187" s="623"/>
      <c r="B187" s="623"/>
      <c r="D187" s="1750"/>
      <c r="E187" s="1750"/>
      <c r="F187" s="1750"/>
    </row>
    <row r="188" spans="1:7">
      <c r="A188" s="623"/>
      <c r="B188" s="1703" t="s">
        <v>2595</v>
      </c>
      <c r="D188" s="1774" t="s">
        <v>2268</v>
      </c>
      <c r="E188" s="1774"/>
      <c r="F188" s="1774"/>
    </row>
    <row r="189" spans="1:7">
      <c r="A189" s="623"/>
      <c r="B189" s="623"/>
      <c r="D189" s="1827" t="s">
        <v>2269</v>
      </c>
      <c r="E189" s="1827"/>
      <c r="F189" s="1827"/>
    </row>
    <row r="190" spans="1:7">
      <c r="A190" s="623"/>
      <c r="B190" s="623"/>
      <c r="D190" s="1627" t="s">
        <v>2270</v>
      </c>
      <c r="E190" s="1866" t="s">
        <v>2271</v>
      </c>
      <c r="F190" s="1866"/>
    </row>
    <row r="191" spans="1:7">
      <c r="A191" s="623"/>
      <c r="B191" s="623"/>
      <c r="D191" s="6"/>
      <c r="E191" s="6"/>
      <c r="F191" s="6"/>
    </row>
    <row r="192" spans="1:7">
      <c r="A192" s="623"/>
      <c r="B192" s="1703" t="s">
        <v>2596</v>
      </c>
      <c r="D192" s="1827" t="s">
        <v>2272</v>
      </c>
      <c r="E192" s="1827"/>
      <c r="F192" s="1827"/>
    </row>
    <row r="193" spans="1:6">
      <c r="A193" s="623"/>
      <c r="B193" s="623"/>
      <c r="D193" s="1774" t="s">
        <v>2269</v>
      </c>
      <c r="E193" s="1774"/>
      <c r="F193" s="1774"/>
    </row>
    <row r="194" spans="1:6">
      <c r="A194" s="623"/>
      <c r="B194" s="623"/>
      <c r="D194" s="1694" t="s">
        <v>2273</v>
      </c>
      <c r="E194" s="1866" t="s">
        <v>2274</v>
      </c>
      <c r="F194" s="1866"/>
    </row>
    <row r="195" spans="1:6">
      <c r="A195" s="623"/>
      <c r="B195" s="623"/>
      <c r="D195" s="6"/>
      <c r="E195" s="6"/>
      <c r="F195" s="6"/>
    </row>
    <row r="196" spans="1:6">
      <c r="A196" s="623"/>
      <c r="B196" s="1703" t="s">
        <v>2596</v>
      </c>
      <c r="D196" s="1827" t="s">
        <v>2275</v>
      </c>
      <c r="E196" s="1827"/>
      <c r="F196" s="1827"/>
    </row>
    <row r="197" spans="1:6">
      <c r="A197" s="623"/>
      <c r="B197" s="623"/>
      <c r="D197" s="1692" t="s">
        <v>2269</v>
      </c>
      <c r="E197" s="6"/>
      <c r="F197" s="6"/>
    </row>
    <row r="198" spans="1:6">
      <c r="A198" s="623"/>
      <c r="B198" s="623"/>
      <c r="D198" s="1694" t="s">
        <v>2270</v>
      </c>
      <c r="E198" s="1866" t="s">
        <v>2276</v>
      </c>
      <c r="F198" s="1866"/>
    </row>
    <row r="199" spans="1:6">
      <c r="A199" s="623"/>
      <c r="B199" s="623"/>
      <c r="D199" s="1750"/>
      <c r="E199" s="1750"/>
      <c r="F199" s="1750"/>
    </row>
    <row r="200" spans="1:6" ht="14.25">
      <c r="A200" s="1726"/>
      <c r="B200" s="1703" t="s">
        <v>2596</v>
      </c>
      <c r="D200" s="1858" t="s">
        <v>2277</v>
      </c>
      <c r="E200" s="1858"/>
      <c r="F200" s="1858"/>
    </row>
    <row r="201" spans="1:6" ht="14.25">
      <c r="A201" s="1726"/>
      <c r="B201" s="1726"/>
      <c r="D201" s="1858"/>
      <c r="E201" s="1858"/>
      <c r="F201" s="1858"/>
    </row>
    <row r="202" spans="1:6">
      <c r="D202" s="1858"/>
      <c r="E202" s="1858"/>
      <c r="F202" s="1858"/>
    </row>
    <row r="203" spans="1:6">
      <c r="D203" s="1724"/>
    </row>
    <row r="204" spans="1:6">
      <c r="B204" s="1703" t="s">
        <v>2596</v>
      </c>
      <c r="D204" s="1827" t="s">
        <v>2278</v>
      </c>
      <c r="E204" s="1827"/>
      <c r="F204" s="1827"/>
    </row>
    <row r="205" spans="1:6">
      <c r="D205" s="1827" t="s">
        <v>2269</v>
      </c>
      <c r="E205" s="1827"/>
      <c r="F205" s="1827"/>
    </row>
    <row r="206" spans="1:6">
      <c r="D206" s="1694" t="s">
        <v>2270</v>
      </c>
      <c r="E206" s="1866" t="s">
        <v>2279</v>
      </c>
      <c r="F206" s="1866"/>
    </row>
    <row r="207" spans="1:6">
      <c r="D207" s="1740"/>
      <c r="E207" s="1740"/>
      <c r="F207" s="1740"/>
    </row>
    <row r="208" spans="1:6" ht="14.25">
      <c r="A208" s="1726"/>
      <c r="B208" s="1703" t="s">
        <v>2596</v>
      </c>
      <c r="D208" s="1858" t="s">
        <v>1434</v>
      </c>
      <c r="E208" s="1858"/>
      <c r="F208" s="1858"/>
    </row>
    <row r="209" spans="1:7" ht="14.65" customHeight="1">
      <c r="A209" s="1726"/>
      <c r="B209" s="1639"/>
      <c r="D209" s="1858"/>
      <c r="E209" s="1858"/>
      <c r="F209" s="1858"/>
    </row>
    <row r="210" spans="1:7" ht="14.25">
      <c r="A210" s="1726"/>
      <c r="D210" s="1858"/>
      <c r="E210" s="1858"/>
      <c r="F210" s="1858"/>
    </row>
    <row r="211" spans="1:7" ht="14.25">
      <c r="A211" s="1726"/>
      <c r="D211" s="1858"/>
      <c r="E211" s="1858"/>
      <c r="F211" s="1858"/>
    </row>
    <row r="212" spans="1:7">
      <c r="D212" s="1740"/>
      <c r="E212" s="1740"/>
      <c r="F212" s="1740"/>
    </row>
    <row r="213" spans="1:7">
      <c r="A213" s="1817" t="s">
        <v>1168</v>
      </c>
      <c r="B213" s="1817"/>
      <c r="C213" s="1817"/>
      <c r="D213" s="1817"/>
      <c r="E213" s="1817"/>
      <c r="F213" s="1817"/>
      <c r="G213" s="1817"/>
    </row>
    <row r="214" spans="1:7" ht="12" customHeight="1">
      <c r="D214" s="1727"/>
      <c r="E214" s="1727"/>
      <c r="F214" s="1727"/>
    </row>
    <row r="215" spans="1:7">
      <c r="C215" s="1748"/>
      <c r="D215" s="1798" t="s">
        <v>214</v>
      </c>
      <c r="E215" s="1798"/>
      <c r="F215" s="1798"/>
    </row>
    <row r="216" spans="1:7">
      <c r="A216" s="1734"/>
      <c r="B216" s="1734"/>
      <c r="C216" s="1734"/>
      <c r="D216" s="1857" t="s">
        <v>1297</v>
      </c>
      <c r="E216" s="1857"/>
      <c r="F216" s="1857"/>
    </row>
    <row r="217" spans="1:7" ht="12" customHeight="1">
      <c r="A217" s="1732"/>
      <c r="B217" s="1732"/>
      <c r="C217" s="1732"/>
    </row>
    <row r="218" spans="1:7" ht="13.9" customHeight="1">
      <c r="A218" s="1732"/>
      <c r="C218" s="1732"/>
      <c r="D218" s="1798" t="s">
        <v>581</v>
      </c>
      <c r="E218" s="1798"/>
      <c r="F218" s="1798"/>
    </row>
    <row r="219" spans="1:7" ht="14.25">
      <c r="A219" s="1726"/>
      <c r="B219" s="1703" t="s">
        <v>2595</v>
      </c>
      <c r="D219" s="1858" t="s">
        <v>2280</v>
      </c>
      <c r="E219" s="1858"/>
      <c r="F219" s="1858"/>
    </row>
    <row r="220" spans="1:7" ht="14.25" customHeight="1">
      <c r="A220" s="1726"/>
      <c r="B220" s="1726"/>
      <c r="D220" s="1858"/>
      <c r="E220" s="1858"/>
      <c r="F220" s="1858"/>
    </row>
    <row r="221" spans="1:7" ht="14.25" customHeight="1">
      <c r="A221" s="1726"/>
      <c r="B221" s="1726"/>
      <c r="D221" s="1858"/>
      <c r="E221" s="1858"/>
      <c r="F221" s="1858"/>
    </row>
    <row r="222" spans="1:7" ht="14.25">
      <c r="A222" s="1726"/>
      <c r="B222" s="1726"/>
      <c r="D222" s="1858"/>
      <c r="E222" s="1858"/>
      <c r="F222" s="1858"/>
    </row>
    <row r="223" spans="1:7" ht="14.25">
      <c r="A223" s="1726"/>
      <c r="B223" s="1726"/>
      <c r="D223" s="1701"/>
      <c r="E223" s="1701"/>
      <c r="F223" s="1701"/>
    </row>
    <row r="224" spans="1:7" ht="14.25">
      <c r="A224" s="1726"/>
      <c r="B224" s="1703" t="s">
        <v>2595</v>
      </c>
      <c r="D224" s="1858" t="s">
        <v>2281</v>
      </c>
      <c r="E224" s="1858"/>
      <c r="F224" s="1858"/>
    </row>
    <row r="225" spans="1:6" ht="14.25">
      <c r="A225" s="1726"/>
      <c r="B225" s="1726"/>
      <c r="D225" s="1858"/>
      <c r="E225" s="1858"/>
      <c r="F225" s="1858"/>
    </row>
    <row r="226" spans="1:6" ht="14.25">
      <c r="A226" s="1726"/>
      <c r="B226" s="1726"/>
      <c r="D226" s="1858"/>
      <c r="E226" s="1858"/>
      <c r="F226" s="1858"/>
    </row>
    <row r="227" spans="1:6" ht="14.25">
      <c r="A227" s="1726"/>
      <c r="B227" s="1726"/>
      <c r="D227" s="1858"/>
      <c r="E227" s="1858"/>
      <c r="F227" s="1858"/>
    </row>
    <row r="228" spans="1:6" ht="14.25" customHeight="1">
      <c r="A228" s="1726"/>
      <c r="B228" s="1726"/>
      <c r="D228" s="1858"/>
      <c r="E228" s="1858"/>
      <c r="F228" s="1858"/>
    </row>
    <row r="229" spans="1:6" ht="14.25" customHeight="1">
      <c r="A229" s="1726"/>
      <c r="B229" s="1726"/>
      <c r="D229" s="1701"/>
      <c r="E229" s="1701"/>
      <c r="F229" s="1701"/>
    </row>
    <row r="230" spans="1:6" ht="14.25">
      <c r="A230" s="1726"/>
      <c r="B230" s="1726"/>
      <c r="D230" s="1858" t="s">
        <v>1293</v>
      </c>
      <c r="E230" s="1858"/>
      <c r="F230" s="1858"/>
    </row>
    <row r="231" spans="1:6" ht="14.25">
      <c r="A231" s="1726"/>
      <c r="B231" s="1726"/>
      <c r="D231" s="1858"/>
      <c r="E231" s="1858"/>
      <c r="F231" s="1858"/>
    </row>
    <row r="232" spans="1:6" ht="14.25">
      <c r="A232" s="1726"/>
      <c r="B232" s="1726"/>
      <c r="D232" s="1858"/>
      <c r="E232" s="1858"/>
      <c r="F232" s="1858"/>
    </row>
    <row r="233" spans="1:6" ht="14.25">
      <c r="A233" s="1726"/>
      <c r="B233" s="1726"/>
      <c r="D233" s="1858"/>
      <c r="E233" s="1858"/>
      <c r="F233" s="1858"/>
    </row>
    <row r="234" spans="1:6" ht="14.25">
      <c r="A234" s="1726"/>
      <c r="B234" s="1726"/>
      <c r="D234" s="1858"/>
      <c r="E234" s="1858"/>
      <c r="F234" s="1858"/>
    </row>
    <row r="235" spans="1:6" ht="14.25">
      <c r="A235" s="1726"/>
      <c r="B235" s="1726"/>
      <c r="D235" s="1727"/>
      <c r="E235" s="1727"/>
      <c r="F235" s="1727"/>
    </row>
    <row r="236" spans="1:6" ht="14.25">
      <c r="A236" s="1726"/>
      <c r="B236" s="1703" t="s">
        <v>2595</v>
      </c>
      <c r="D236" s="1858" t="s">
        <v>2285</v>
      </c>
      <c r="E236" s="1858"/>
      <c r="F236" s="1858"/>
    </row>
    <row r="237" spans="1:6" ht="14.25">
      <c r="A237" s="1726"/>
      <c r="B237" s="1726"/>
      <c r="D237" s="1858"/>
      <c r="E237" s="1858"/>
      <c r="F237" s="1858"/>
    </row>
    <row r="238" spans="1:6" ht="14.25">
      <c r="A238" s="1726"/>
      <c r="B238" s="1726"/>
      <c r="D238" s="1858"/>
      <c r="E238" s="1858"/>
      <c r="F238" s="1858"/>
    </row>
    <row r="239" spans="1:6" ht="14.25">
      <c r="A239" s="1726"/>
      <c r="B239" s="1726"/>
      <c r="D239" s="1859" t="s">
        <v>967</v>
      </c>
      <c r="E239" s="1859"/>
      <c r="F239" s="1859"/>
    </row>
    <row r="240" spans="1:6" ht="14.25">
      <c r="A240" s="1726"/>
      <c r="B240" s="1726"/>
      <c r="D240" s="1727"/>
      <c r="E240" s="1727"/>
      <c r="F240" s="1727"/>
    </row>
    <row r="241" spans="1:7" ht="14.65" customHeight="1">
      <c r="A241" s="1726"/>
      <c r="B241" s="1703" t="s">
        <v>2596</v>
      </c>
      <c r="D241" s="1858" t="s">
        <v>1296</v>
      </c>
      <c r="E241" s="1858"/>
      <c r="F241" s="1858"/>
    </row>
    <row r="242" spans="1:7" ht="14.25">
      <c r="A242" s="1726"/>
      <c r="B242" s="1726"/>
      <c r="D242" s="1858"/>
      <c r="E242" s="1858"/>
      <c r="F242" s="1858"/>
    </row>
    <row r="243" spans="1:7" ht="14.25">
      <c r="A243" s="1726"/>
      <c r="B243" s="1726"/>
      <c r="D243" s="1858"/>
      <c r="E243" s="1858"/>
      <c r="F243" s="1858"/>
    </row>
    <row r="244" spans="1:7" ht="14.25">
      <c r="A244" s="1726"/>
      <c r="B244" s="1726"/>
      <c r="D244" s="1858"/>
      <c r="E244" s="1858"/>
      <c r="F244" s="1858"/>
    </row>
    <row r="245" spans="1:7" ht="14.25">
      <c r="A245" s="1726"/>
      <c r="B245" s="1726"/>
      <c r="D245" s="1858"/>
      <c r="E245" s="1858"/>
      <c r="F245" s="1858"/>
    </row>
    <row r="246" spans="1:7" ht="14.25">
      <c r="A246" s="1726"/>
      <c r="B246" s="1726"/>
      <c r="D246" s="1701"/>
      <c r="E246" s="1701"/>
      <c r="F246" s="1701"/>
    </row>
    <row r="247" spans="1:7" ht="14.25">
      <c r="A247" s="1726"/>
      <c r="B247" s="1703" t="s">
        <v>2595</v>
      </c>
      <c r="D247" s="1750" t="s">
        <v>2282</v>
      </c>
      <c r="E247" s="1701"/>
      <c r="F247" s="1701"/>
    </row>
    <row r="248" spans="1:7" ht="14.25">
      <c r="A248" s="1726"/>
      <c r="B248" s="1726"/>
      <c r="D248" s="1750"/>
      <c r="E248" s="1696" t="s">
        <v>2283</v>
      </c>
      <c r="F248" s="1701"/>
    </row>
    <row r="249" spans="1:7">
      <c r="D249" s="1727"/>
      <c r="E249" s="1727"/>
      <c r="F249" s="1727"/>
    </row>
    <row r="250" spans="1:7" ht="14.25">
      <c r="A250" s="1726"/>
      <c r="B250" s="1703" t="s">
        <v>2595</v>
      </c>
      <c r="D250" s="1858" t="s">
        <v>1295</v>
      </c>
      <c r="E250" s="1858"/>
      <c r="F250" s="1858"/>
    </row>
    <row r="251" spans="1:7" ht="14.25">
      <c r="A251" s="1726"/>
      <c r="B251" s="1726"/>
      <c r="D251" s="1858"/>
      <c r="E251" s="1858"/>
      <c r="F251" s="1858"/>
    </row>
    <row r="252" spans="1:7">
      <c r="D252" s="1749"/>
    </row>
    <row r="253" spans="1:7">
      <c r="A253" s="1817" t="s">
        <v>1169</v>
      </c>
      <c r="B253" s="1817"/>
      <c r="C253" s="1817"/>
      <c r="D253" s="1817"/>
      <c r="E253" s="1817"/>
      <c r="F253" s="1817"/>
      <c r="G253" s="1817"/>
    </row>
    <row r="254" spans="1:7">
      <c r="D254" s="1749"/>
    </row>
    <row r="255" spans="1:7">
      <c r="C255" s="1748"/>
      <c r="D255" s="1798" t="s">
        <v>1298</v>
      </c>
      <c r="E255" s="1798"/>
      <c r="F255" s="1798"/>
    </row>
    <row r="256" spans="1:7">
      <c r="A256" s="1734"/>
      <c r="B256" s="1734"/>
      <c r="C256" s="1734"/>
      <c r="D256" s="1727"/>
      <c r="E256" s="1727"/>
      <c r="F256" s="1727"/>
    </row>
    <row r="257" spans="1:6">
      <c r="A257" s="783"/>
      <c r="B257" s="783"/>
      <c r="C257" s="783"/>
      <c r="D257" s="1798" t="s">
        <v>277</v>
      </c>
      <c r="E257" s="1798"/>
      <c r="F257" s="1798"/>
    </row>
    <row r="258" spans="1:6" ht="14.65" customHeight="1">
      <c r="A258" s="1726"/>
      <c r="B258" s="1703" t="s">
        <v>2595</v>
      </c>
      <c r="D258" s="1858" t="s">
        <v>1409</v>
      </c>
      <c r="E258" s="1858"/>
      <c r="F258" s="1858"/>
    </row>
    <row r="259" spans="1:6">
      <c r="D259" s="1858"/>
      <c r="E259" s="1858"/>
      <c r="F259" s="1858"/>
    </row>
    <row r="260" spans="1:6">
      <c r="D260" s="1857" t="s">
        <v>958</v>
      </c>
      <c r="E260" s="1857"/>
      <c r="F260" s="1857"/>
    </row>
    <row r="261" spans="1:6">
      <c r="D261" s="1727"/>
      <c r="E261" s="1727"/>
      <c r="F261" s="1727"/>
    </row>
    <row r="262" spans="1:6" ht="14.65" customHeight="1">
      <c r="A262" s="1726"/>
      <c r="B262" s="1703" t="s">
        <v>2596</v>
      </c>
      <c r="D262" s="1858" t="s">
        <v>2284</v>
      </c>
      <c r="E262" s="1858"/>
      <c r="F262" s="1858"/>
    </row>
    <row r="263" spans="1:6">
      <c r="D263" s="1858"/>
      <c r="E263" s="1858"/>
      <c r="F263" s="1858"/>
    </row>
    <row r="264" spans="1:6">
      <c r="D264" s="1858"/>
      <c r="E264" s="1858"/>
      <c r="F264" s="1858"/>
    </row>
    <row r="265" spans="1:6">
      <c r="D265" s="1858"/>
      <c r="E265" s="1858"/>
      <c r="F265" s="1858"/>
    </row>
    <row r="266" spans="1:6">
      <c r="D266" s="1858"/>
      <c r="E266" s="1858"/>
      <c r="F266" s="1858"/>
    </row>
    <row r="267" spans="1:6">
      <c r="D267" s="1858"/>
      <c r="E267" s="1858"/>
      <c r="F267" s="1858"/>
    </row>
    <row r="268" spans="1:6">
      <c r="D268" s="1727"/>
      <c r="E268" s="1727"/>
      <c r="F268" s="1727"/>
    </row>
    <row r="269" spans="1:6" ht="14.25">
      <c r="A269" s="1726"/>
      <c r="B269" s="1703" t="s">
        <v>2596</v>
      </c>
      <c r="D269" s="1858" t="s">
        <v>1301</v>
      </c>
      <c r="E269" s="1858"/>
      <c r="F269" s="1858"/>
    </row>
    <row r="270" spans="1:6">
      <c r="D270" s="1858"/>
      <c r="E270" s="1858"/>
      <c r="F270" s="1858"/>
    </row>
    <row r="271" spans="1:6">
      <c r="D271" s="1858"/>
      <c r="E271" s="1858"/>
      <c r="F271" s="1858"/>
    </row>
    <row r="272" spans="1:6">
      <c r="D272" s="1731"/>
      <c r="E272" s="1727"/>
      <c r="F272" s="1727"/>
    </row>
    <row r="273" spans="1:7">
      <c r="A273" s="1817" t="s">
        <v>1170</v>
      </c>
      <c r="B273" s="1817"/>
      <c r="C273" s="1817"/>
      <c r="D273" s="1817"/>
      <c r="E273" s="1817"/>
      <c r="F273" s="1817"/>
      <c r="G273" s="1817"/>
    </row>
    <row r="274" spans="1:7">
      <c r="D274" s="1731"/>
      <c r="E274" s="1727"/>
      <c r="F274" s="1727"/>
    </row>
    <row r="275" spans="1:7">
      <c r="C275" s="1734"/>
      <c r="D275" s="1860" t="s">
        <v>1303</v>
      </c>
      <c r="E275" s="1860"/>
      <c r="F275" s="1860"/>
    </row>
    <row r="276" spans="1:7">
      <c r="C276" s="1734"/>
      <c r="D276" s="1860"/>
      <c r="E276" s="1860"/>
      <c r="F276" s="1860"/>
    </row>
    <row r="277" spans="1:7">
      <c r="A277" s="783"/>
      <c r="B277" s="783"/>
      <c r="C277" s="783"/>
      <c r="D277" s="623"/>
    </row>
    <row r="278" spans="1:7">
      <c r="C278" s="783"/>
      <c r="D278" s="1798" t="s">
        <v>215</v>
      </c>
      <c r="E278" s="1798"/>
      <c r="F278" s="1798"/>
    </row>
    <row r="279" spans="1:7" ht="15.75" customHeight="1">
      <c r="A279" s="1726"/>
      <c r="B279" s="1726"/>
      <c r="D279" s="1867" t="s">
        <v>1304</v>
      </c>
      <c r="E279" s="1867"/>
      <c r="F279" s="1867"/>
    </row>
    <row r="280" spans="1:7">
      <c r="E280" s="1727"/>
      <c r="F280" s="1727"/>
    </row>
    <row r="281" spans="1:7" ht="14.25">
      <c r="A281" s="1726"/>
      <c r="B281" s="1703" t="s">
        <v>2596</v>
      </c>
      <c r="D281" s="1858" t="s">
        <v>1305</v>
      </c>
      <c r="E281" s="1858"/>
      <c r="F281" s="1858"/>
    </row>
    <row r="282" spans="1:7" ht="14.25">
      <c r="A282" s="1726"/>
      <c r="B282" s="1726"/>
      <c r="D282" s="1858"/>
      <c r="E282" s="1858"/>
      <c r="F282" s="1858"/>
    </row>
    <row r="283" spans="1:7">
      <c r="D283" s="1727"/>
      <c r="E283" s="1727"/>
      <c r="F283" s="1727"/>
    </row>
    <row r="284" spans="1:7" ht="14.25">
      <c r="A284" s="1726"/>
      <c r="B284" s="1703" t="s">
        <v>2596</v>
      </c>
      <c r="D284" s="1858" t="s">
        <v>1306</v>
      </c>
      <c r="E284" s="1858"/>
      <c r="F284" s="1858"/>
    </row>
    <row r="285" spans="1:7" ht="14.25">
      <c r="A285" s="1726"/>
      <c r="B285" s="1726"/>
      <c r="D285" s="1858"/>
      <c r="E285" s="1858"/>
      <c r="F285" s="1858"/>
    </row>
    <row r="286" spans="1:7" ht="14.25">
      <c r="A286" s="1726"/>
      <c r="B286" s="1726"/>
      <c r="D286" s="1858"/>
      <c r="E286" s="1858"/>
      <c r="F286" s="1858"/>
    </row>
    <row r="287" spans="1:7">
      <c r="D287" s="1727"/>
      <c r="E287" s="1727"/>
      <c r="F287" s="1727"/>
    </row>
    <row r="288" spans="1:7" ht="14.25">
      <c r="A288" s="1726"/>
      <c r="B288" s="1703" t="s">
        <v>2596</v>
      </c>
      <c r="D288" s="1858" t="s">
        <v>1307</v>
      </c>
      <c r="E288" s="1858"/>
      <c r="F288" s="1858"/>
    </row>
    <row r="289" spans="1:7" ht="14.25">
      <c r="A289" s="1726"/>
      <c r="B289" s="1726"/>
      <c r="D289" s="1858"/>
      <c r="E289" s="1858"/>
      <c r="F289" s="1858"/>
    </row>
    <row r="290" spans="1:7">
      <c r="A290" s="1732"/>
      <c r="B290" s="1732"/>
      <c r="E290" s="1727"/>
      <c r="F290" s="1727"/>
    </row>
    <row r="291" spans="1:7">
      <c r="A291" s="1817" t="s">
        <v>1171</v>
      </c>
      <c r="B291" s="1817"/>
      <c r="C291" s="1817"/>
      <c r="D291" s="1817"/>
      <c r="E291" s="1817"/>
      <c r="F291" s="1817"/>
      <c r="G291" s="1817"/>
    </row>
    <row r="292" spans="1:7">
      <c r="A292" s="1732"/>
      <c r="B292" s="1732"/>
      <c r="D292" s="1727"/>
      <c r="E292" s="1727"/>
      <c r="F292" s="1727"/>
    </row>
    <row r="293" spans="1:7">
      <c r="C293" s="1732"/>
      <c r="D293" s="1798" t="s">
        <v>721</v>
      </c>
      <c r="E293" s="1798"/>
      <c r="F293" s="1798"/>
    </row>
    <row r="294" spans="1:7">
      <c r="C294" s="1732"/>
      <c r="D294" s="1857" t="s">
        <v>1308</v>
      </c>
      <c r="E294" s="1857"/>
      <c r="F294" s="1857"/>
    </row>
    <row r="295" spans="1:7">
      <c r="C295" s="1732"/>
      <c r="D295" s="1747"/>
    </row>
    <row r="296" spans="1:7">
      <c r="B296" s="1703" t="s">
        <v>2596</v>
      </c>
      <c r="D296" s="1857" t="s">
        <v>1309</v>
      </c>
      <c r="E296" s="1857"/>
      <c r="F296" s="1857"/>
    </row>
    <row r="297" spans="1:7" ht="14.25">
      <c r="A297" s="1726"/>
      <c r="B297" s="1726"/>
      <c r="D297" s="1746"/>
      <c r="E297" s="1745"/>
      <c r="F297" s="1745"/>
    </row>
    <row r="298" spans="1:7" ht="13.9" customHeight="1">
      <c r="B298" s="1703" t="s">
        <v>2596</v>
      </c>
      <c r="D298" s="1868" t="s">
        <v>1438</v>
      </c>
      <c r="E298" s="1868"/>
      <c r="F298" s="1868"/>
    </row>
    <row r="299" spans="1:7" ht="14.25">
      <c r="A299" s="1726"/>
      <c r="B299" s="1726"/>
      <c r="D299" s="1868"/>
      <c r="E299" s="1868"/>
      <c r="F299" s="1868"/>
    </row>
    <row r="300" spans="1:7" ht="14.25">
      <c r="A300" s="1726"/>
      <c r="B300" s="1726"/>
      <c r="D300" s="1868"/>
      <c r="E300" s="1868"/>
      <c r="F300" s="1868"/>
    </row>
    <row r="301" spans="1:7" ht="14.25">
      <c r="A301" s="1726"/>
      <c r="B301" s="1726"/>
      <c r="D301" s="1868"/>
      <c r="E301" s="1868"/>
      <c r="F301" s="1868"/>
    </row>
    <row r="302" spans="1:7" ht="14.25">
      <c r="A302" s="1726"/>
      <c r="B302" s="1726"/>
      <c r="D302" s="1868"/>
      <c r="E302" s="1868"/>
      <c r="F302" s="1868"/>
    </row>
    <row r="303" spans="1:7" ht="14.25">
      <c r="A303" s="1726"/>
      <c r="B303" s="1726"/>
      <c r="D303" s="1746"/>
      <c r="E303" s="1745"/>
      <c r="F303" s="1745"/>
    </row>
    <row r="304" spans="1:7" ht="13.9" customHeight="1">
      <c r="B304" s="1703" t="s">
        <v>2596</v>
      </c>
      <c r="D304" s="1868" t="s">
        <v>1311</v>
      </c>
      <c r="E304" s="1868"/>
      <c r="F304" s="1868"/>
    </row>
    <row r="305" spans="1:6">
      <c r="D305" s="1868"/>
      <c r="E305" s="1868"/>
      <c r="F305" s="1868"/>
    </row>
    <row r="306" spans="1:6" ht="14.25">
      <c r="A306" s="1726"/>
      <c r="B306" s="1726"/>
      <c r="D306" s="1746"/>
      <c r="E306" s="1745"/>
      <c r="F306" s="1745"/>
    </row>
    <row r="307" spans="1:6">
      <c r="B307" s="1703" t="s">
        <v>2596</v>
      </c>
      <c r="D307" s="1857" t="s">
        <v>1312</v>
      </c>
      <c r="E307" s="1857"/>
      <c r="F307" s="1857"/>
    </row>
    <row r="308" spans="1:6">
      <c r="E308" s="1727"/>
      <c r="F308" s="1727"/>
    </row>
    <row r="309" spans="1:6" ht="14.25">
      <c r="A309" s="1726"/>
      <c r="B309" s="1703" t="s">
        <v>2596</v>
      </c>
      <c r="D309" s="1858" t="s">
        <v>1466</v>
      </c>
      <c r="E309" s="1858"/>
      <c r="F309" s="1858"/>
    </row>
    <row r="310" spans="1:6" ht="14.25">
      <c r="A310" s="1726"/>
      <c r="B310" s="1726"/>
      <c r="D310" s="1858"/>
      <c r="E310" s="1858"/>
      <c r="F310" s="1858"/>
    </row>
    <row r="311" spans="1:6" ht="14.25">
      <c r="A311" s="1726"/>
      <c r="B311" s="1726"/>
      <c r="D311" s="1858"/>
      <c r="E311" s="1858"/>
      <c r="F311" s="1858"/>
    </row>
    <row r="312" spans="1:6" ht="14.25">
      <c r="A312" s="1726"/>
      <c r="B312" s="1726"/>
      <c r="D312" s="1858"/>
      <c r="E312" s="1858"/>
      <c r="F312" s="1858"/>
    </row>
    <row r="313" spans="1:6" ht="14.25">
      <c r="A313" s="1726"/>
      <c r="B313" s="1726"/>
      <c r="D313" s="1858"/>
      <c r="E313" s="1858"/>
      <c r="F313" s="1858"/>
    </row>
    <row r="314" spans="1:6" ht="14.25">
      <c r="A314" s="1726"/>
      <c r="B314" s="1726"/>
      <c r="D314" s="1858"/>
      <c r="E314" s="1858"/>
      <c r="F314" s="1858"/>
    </row>
    <row r="315" spans="1:6" ht="14.25">
      <c r="A315" s="1726"/>
      <c r="B315" s="1726"/>
      <c r="D315" s="1858"/>
      <c r="E315" s="1858"/>
      <c r="F315" s="1858"/>
    </row>
    <row r="316" spans="1:6" ht="14.25">
      <c r="A316" s="1726"/>
      <c r="B316" s="1726"/>
      <c r="D316" s="1858"/>
      <c r="E316" s="1858"/>
      <c r="F316" s="1858"/>
    </row>
    <row r="317" spans="1:6" ht="14.25">
      <c r="A317" s="1726"/>
      <c r="B317" s="1726"/>
      <c r="D317" s="1858"/>
      <c r="E317" s="1858"/>
      <c r="F317" s="1858"/>
    </row>
    <row r="318" spans="1:6" ht="14.25">
      <c r="A318" s="1726"/>
      <c r="B318" s="1726"/>
      <c r="D318" s="1858"/>
      <c r="E318" s="1858"/>
      <c r="F318" s="1858"/>
    </row>
    <row r="319" spans="1:6" ht="14.25">
      <c r="A319" s="1726"/>
      <c r="B319" s="1726"/>
      <c r="D319" s="1858"/>
      <c r="E319" s="1858"/>
      <c r="F319" s="1858"/>
    </row>
    <row r="320" spans="1:6" ht="14.25">
      <c r="A320" s="1726"/>
      <c r="B320" s="1726"/>
      <c r="D320" s="1858"/>
      <c r="E320" s="1858"/>
      <c r="F320" s="1858"/>
    </row>
    <row r="321" spans="1:6" ht="14.25">
      <c r="A321" s="1726"/>
      <c r="B321" s="1726"/>
      <c r="D321" s="1858"/>
      <c r="E321" s="1858"/>
      <c r="F321" s="1858"/>
    </row>
    <row r="322" spans="1:6" ht="14.25">
      <c r="A322" s="1726"/>
      <c r="B322" s="1726"/>
      <c r="D322" s="1858"/>
      <c r="E322" s="1858"/>
      <c r="F322" s="1858"/>
    </row>
    <row r="323" spans="1:6" ht="14.25">
      <c r="A323" s="1726"/>
      <c r="B323" s="1726"/>
      <c r="D323" s="1858"/>
      <c r="E323" s="1858"/>
      <c r="F323" s="1858"/>
    </row>
    <row r="324" spans="1:6">
      <c r="D324" s="1727"/>
      <c r="E324" s="1727"/>
      <c r="F324" s="1727"/>
    </row>
    <row r="325" spans="1:6" ht="14.25">
      <c r="A325" s="1726"/>
      <c r="B325" s="1703" t="s">
        <v>2596</v>
      </c>
      <c r="D325" s="1858" t="s">
        <v>1314</v>
      </c>
      <c r="E325" s="1858"/>
      <c r="F325" s="1858"/>
    </row>
    <row r="326" spans="1:6">
      <c r="D326" s="1858"/>
      <c r="E326" s="1858"/>
      <c r="F326" s="1858"/>
    </row>
    <row r="327" spans="1:6">
      <c r="D327" s="1858"/>
      <c r="E327" s="1858"/>
      <c r="F327" s="1858"/>
    </row>
    <row r="328" spans="1:6">
      <c r="D328" s="1858"/>
      <c r="E328" s="1858"/>
      <c r="F328" s="1858"/>
    </row>
    <row r="329" spans="1:6">
      <c r="D329" s="1858"/>
      <c r="E329" s="1858"/>
      <c r="F329" s="1858"/>
    </row>
    <row r="330" spans="1:6">
      <c r="D330" s="1858"/>
      <c r="E330" s="1858"/>
      <c r="F330" s="1858"/>
    </row>
    <row r="331" spans="1:6">
      <c r="D331" s="1858"/>
      <c r="E331" s="1858"/>
      <c r="F331" s="1858"/>
    </row>
    <row r="332" spans="1:6">
      <c r="D332" s="1858"/>
      <c r="E332" s="1858"/>
      <c r="F332" s="1858"/>
    </row>
    <row r="333" spans="1:6">
      <c r="D333" s="1858"/>
      <c r="E333" s="1858"/>
      <c r="F333" s="1858"/>
    </row>
    <row r="334" spans="1:6">
      <c r="D334" s="1727"/>
      <c r="E334" s="1727"/>
      <c r="F334" s="1727"/>
    </row>
    <row r="335" spans="1:6" ht="14.25">
      <c r="A335" s="1726"/>
      <c r="B335" s="1703" t="s">
        <v>2596</v>
      </c>
      <c r="D335" s="1858" t="s">
        <v>1516</v>
      </c>
      <c r="E335" s="1858"/>
      <c r="F335" s="1858"/>
    </row>
    <row r="336" spans="1:6">
      <c r="D336" s="1858"/>
      <c r="E336" s="1858"/>
      <c r="F336" s="1858"/>
    </row>
    <row r="337" spans="1:6">
      <c r="D337" s="1858"/>
      <c r="E337" s="1858"/>
      <c r="F337" s="1858"/>
    </row>
    <row r="338" spans="1:6">
      <c r="D338" s="1858"/>
      <c r="E338" s="1858"/>
      <c r="F338" s="1858"/>
    </row>
    <row r="339" spans="1:6">
      <c r="D339" s="1858"/>
      <c r="E339" s="1858"/>
      <c r="F339" s="1858"/>
    </row>
    <row r="340" spans="1:6">
      <c r="D340" s="1858"/>
      <c r="E340" s="1858"/>
      <c r="F340" s="1858"/>
    </row>
    <row r="341" spans="1:6">
      <c r="D341" s="1701"/>
      <c r="E341" s="1701"/>
      <c r="F341" s="1701"/>
    </row>
    <row r="342" spans="1:6" ht="13.5" thickBot="1">
      <c r="D342" s="1869" t="s">
        <v>1064</v>
      </c>
      <c r="E342" s="1869"/>
      <c r="F342" s="1869"/>
    </row>
    <row r="343" spans="1:6" ht="13.5" thickTop="1">
      <c r="D343" s="1870" t="s">
        <v>1316</v>
      </c>
      <c r="E343" s="1870"/>
      <c r="F343" s="1870"/>
    </row>
    <row r="344" spans="1:6">
      <c r="A344" s="1640"/>
      <c r="B344" s="1640"/>
      <c r="C344" s="1640"/>
      <c r="D344" s="1724"/>
      <c r="E344" s="1724"/>
      <c r="F344" s="1727"/>
    </row>
    <row r="345" spans="1:6" ht="14.25">
      <c r="A345" s="1726"/>
      <c r="B345" s="1703" t="s">
        <v>2596</v>
      </c>
      <c r="C345" s="1640"/>
      <c r="D345" s="1863" t="s">
        <v>1317</v>
      </c>
      <c r="E345" s="1863"/>
      <c r="F345" s="1863"/>
    </row>
    <row r="346" spans="1:6">
      <c r="A346" s="1640"/>
      <c r="B346" s="1640"/>
      <c r="C346" s="1640"/>
      <c r="D346" s="1724"/>
      <c r="E346" s="1724"/>
      <c r="F346" s="1727"/>
    </row>
    <row r="347" spans="1:6">
      <c r="A347" s="1640"/>
      <c r="B347" s="1703" t="s">
        <v>2596</v>
      </c>
      <c r="C347" s="1640"/>
      <c r="D347" s="1864" t="s">
        <v>1441</v>
      </c>
      <c r="E347" s="1864"/>
      <c r="F347" s="1864"/>
    </row>
    <row r="348" spans="1:6">
      <c r="A348" s="1640"/>
      <c r="B348" s="1640"/>
      <c r="C348" s="1640"/>
      <c r="D348" s="1864"/>
      <c r="E348" s="1864"/>
      <c r="F348" s="1864"/>
    </row>
    <row r="349" spans="1:6">
      <c r="A349" s="1640"/>
      <c r="B349" s="1640"/>
      <c r="C349" s="1640"/>
      <c r="D349" s="1864"/>
      <c r="E349" s="1864"/>
      <c r="F349" s="1864"/>
    </row>
    <row r="350" spans="1:6">
      <c r="A350" s="1640"/>
      <c r="B350" s="1640"/>
      <c r="C350" s="1640"/>
      <c r="D350" s="1864"/>
      <c r="E350" s="1864"/>
      <c r="F350" s="1864"/>
    </row>
    <row r="351" spans="1:6">
      <c r="A351" s="1640"/>
      <c r="B351" s="1640"/>
      <c r="C351" s="1640"/>
      <c r="D351" s="1864"/>
      <c r="E351" s="1864"/>
      <c r="F351" s="1864"/>
    </row>
    <row r="352" spans="1:6">
      <c r="A352" s="1640"/>
      <c r="B352" s="1640"/>
      <c r="C352" s="1640"/>
      <c r="D352" s="1864"/>
      <c r="E352" s="1864"/>
      <c r="F352" s="1864"/>
    </row>
    <row r="353" spans="1:6">
      <c r="A353" s="1640"/>
      <c r="B353" s="1640"/>
      <c r="C353" s="1640"/>
      <c r="D353" s="1864"/>
      <c r="E353" s="1864"/>
      <c r="F353" s="1864"/>
    </row>
    <row r="354" spans="1:6">
      <c r="A354" s="1640"/>
      <c r="B354" s="1640"/>
      <c r="C354" s="1640"/>
      <c r="D354" s="1864"/>
      <c r="E354" s="1864"/>
      <c r="F354" s="1864"/>
    </row>
    <row r="355" spans="1:6">
      <c r="A355" s="1640"/>
      <c r="B355" s="1640"/>
      <c r="C355" s="1640"/>
      <c r="D355" s="1864"/>
      <c r="E355" s="1864"/>
      <c r="F355" s="1864"/>
    </row>
    <row r="356" spans="1:6">
      <c r="A356" s="1640"/>
      <c r="B356" s="1640"/>
      <c r="C356" s="1640"/>
      <c r="D356" s="1864"/>
      <c r="E356" s="1864"/>
      <c r="F356" s="1864"/>
    </row>
    <row r="357" spans="1:6">
      <c r="A357" s="1640"/>
      <c r="B357" s="1640"/>
      <c r="C357" s="1640"/>
      <c r="D357" s="1864"/>
      <c r="E357" s="1864"/>
      <c r="F357" s="1864"/>
    </row>
    <row r="358" spans="1:6">
      <c r="A358" s="1640"/>
      <c r="B358" s="1640"/>
      <c r="C358" s="1640"/>
      <c r="D358" s="1864"/>
      <c r="E358" s="1864"/>
      <c r="F358" s="1864"/>
    </row>
    <row r="359" spans="1:6">
      <c r="A359" s="1640"/>
      <c r="B359" s="1640"/>
      <c r="C359" s="1640"/>
      <c r="D359" s="1740"/>
      <c r="E359" s="1740"/>
      <c r="F359" s="1740"/>
    </row>
    <row r="360" spans="1:6" ht="12.4" customHeight="1">
      <c r="A360" s="1640"/>
      <c r="B360" s="1703" t="s">
        <v>2596</v>
      </c>
      <c r="C360" s="1640"/>
      <c r="D360" s="1871" t="s">
        <v>1442</v>
      </c>
      <c r="E360" s="1871"/>
      <c r="F360" s="1871"/>
    </row>
    <row r="361" spans="1:6">
      <c r="A361" s="1640"/>
      <c r="B361" s="1640"/>
      <c r="C361" s="1640"/>
      <c r="D361" s="1871"/>
      <c r="E361" s="1871"/>
      <c r="F361" s="1871"/>
    </row>
    <row r="362" spans="1:6">
      <c r="A362" s="1640"/>
      <c r="B362" s="1640"/>
      <c r="C362" s="1640"/>
      <c r="D362" s="1871"/>
      <c r="E362" s="1871"/>
      <c r="F362" s="1871"/>
    </row>
    <row r="363" spans="1:6">
      <c r="A363" s="1640"/>
      <c r="B363" s="1640"/>
      <c r="C363" s="1640"/>
      <c r="D363" s="1871"/>
      <c r="E363" s="1871"/>
      <c r="F363" s="1871"/>
    </row>
    <row r="364" spans="1:6">
      <c r="A364" s="1640"/>
      <c r="B364" s="1640"/>
      <c r="C364" s="1640"/>
      <c r="D364" s="1744"/>
      <c r="E364" s="1744"/>
      <c r="F364" s="1744"/>
    </row>
    <row r="365" spans="1:6">
      <c r="A365" s="1640"/>
      <c r="B365" s="1703" t="s">
        <v>2596</v>
      </c>
      <c r="C365" s="1640"/>
      <c r="D365" s="1639" t="s">
        <v>2427</v>
      </c>
      <c r="E365" s="1744"/>
      <c r="F365" s="1744"/>
    </row>
    <row r="366" spans="1:6">
      <c r="A366" s="1640"/>
      <c r="B366" s="1640"/>
      <c r="C366" s="1640"/>
      <c r="D366" s="1639" t="s">
        <v>2428</v>
      </c>
      <c r="E366" s="1744"/>
      <c r="F366" s="1744"/>
    </row>
    <row r="367" spans="1:6">
      <c r="A367" s="1640"/>
      <c r="B367" s="1640"/>
      <c r="C367" s="1640"/>
      <c r="D367" s="1639" t="s">
        <v>2429</v>
      </c>
      <c r="E367" s="1744"/>
      <c r="F367" s="1744"/>
    </row>
    <row r="368" spans="1:6">
      <c r="A368" s="1640"/>
      <c r="B368" s="1640"/>
      <c r="C368" s="1640"/>
      <c r="D368" s="1639" t="s">
        <v>2430</v>
      </c>
      <c r="E368" s="1744"/>
      <c r="F368" s="1744"/>
    </row>
    <row r="369" spans="1:6">
      <c r="A369" s="1640"/>
      <c r="B369" s="1640"/>
      <c r="C369" s="1640"/>
      <c r="D369" s="1639" t="s">
        <v>2431</v>
      </c>
      <c r="E369" s="1744"/>
      <c r="F369" s="1744"/>
    </row>
    <row r="370" spans="1:6">
      <c r="A370" s="1640"/>
      <c r="B370" s="1640"/>
      <c r="C370" s="1640"/>
      <c r="D370" s="1639" t="s">
        <v>2432</v>
      </c>
      <c r="E370" s="1744"/>
      <c r="F370" s="1744"/>
    </row>
    <row r="371" spans="1:6">
      <c r="A371" s="1640"/>
      <c r="B371" s="1640"/>
      <c r="C371" s="1640"/>
      <c r="E371" s="1724"/>
      <c r="F371" s="1727"/>
    </row>
    <row r="372" spans="1:6" ht="14.25">
      <c r="A372" s="1726"/>
      <c r="B372" s="1703" t="s">
        <v>2596</v>
      </c>
      <c r="C372" s="1640"/>
      <c r="D372" s="1864" t="s">
        <v>1319</v>
      </c>
      <c r="E372" s="1864"/>
      <c r="F372" s="1864"/>
    </row>
    <row r="373" spans="1:6">
      <c r="A373" s="1640"/>
      <c r="B373" s="1640"/>
      <c r="C373" s="1640"/>
      <c r="D373" s="1864"/>
      <c r="E373" s="1864"/>
      <c r="F373" s="1864"/>
    </row>
    <row r="374" spans="1:6">
      <c r="A374" s="1640"/>
      <c r="B374" s="1640"/>
      <c r="C374" s="1640"/>
      <c r="D374" s="1864"/>
      <c r="E374" s="1864"/>
      <c r="F374" s="1864"/>
    </row>
    <row r="375" spans="1:6">
      <c r="A375" s="1640"/>
      <c r="B375" s="1640"/>
      <c r="C375" s="1640"/>
      <c r="D375" s="1864"/>
      <c r="E375" s="1864"/>
      <c r="F375" s="1864"/>
    </row>
    <row r="376" spans="1:6">
      <c r="A376" s="1640"/>
      <c r="B376" s="1640"/>
      <c r="C376" s="1640"/>
      <c r="D376" s="1724"/>
      <c r="E376" s="1724"/>
      <c r="F376" s="1727"/>
    </row>
    <row r="377" spans="1:6">
      <c r="A377" s="1640"/>
      <c r="B377" s="1640"/>
      <c r="C377" s="1640"/>
      <c r="D377" s="1864" t="s">
        <v>1320</v>
      </c>
      <c r="E377" s="1864"/>
      <c r="F377" s="1864"/>
    </row>
    <row r="378" spans="1:6">
      <c r="A378" s="1640"/>
      <c r="B378" s="1640"/>
      <c r="C378" s="1640"/>
      <c r="D378" s="1864"/>
      <c r="E378" s="1864"/>
      <c r="F378" s="1864"/>
    </row>
    <row r="379" spans="1:6">
      <c r="A379" s="1640"/>
      <c r="B379" s="1640"/>
      <c r="C379" s="1640"/>
      <c r="D379" s="1864"/>
      <c r="E379" s="1864"/>
      <c r="F379" s="1864"/>
    </row>
    <row r="380" spans="1:6">
      <c r="A380" s="1640"/>
      <c r="B380" s="1640"/>
      <c r="C380" s="1640"/>
      <c r="D380" s="1864"/>
      <c r="E380" s="1864"/>
      <c r="F380" s="1864"/>
    </row>
    <row r="381" spans="1:6" ht="18" customHeight="1">
      <c r="A381" s="1640"/>
      <c r="B381" s="1640"/>
      <c r="C381" s="1640"/>
      <c r="D381" s="1864"/>
      <c r="E381" s="1864"/>
      <c r="F381" s="1864"/>
    </row>
    <row r="382" spans="1:6">
      <c r="A382" s="1640"/>
      <c r="B382" s="1640"/>
      <c r="C382" s="1640"/>
      <c r="D382" s="1864"/>
      <c r="E382" s="1864"/>
      <c r="F382" s="1864"/>
    </row>
    <row r="383" spans="1:6">
      <c r="A383" s="1640"/>
      <c r="B383" s="1640"/>
      <c r="C383" s="1640"/>
      <c r="D383" s="1864"/>
      <c r="E383" s="1864"/>
      <c r="F383" s="1864"/>
    </row>
    <row r="384" spans="1:6">
      <c r="A384" s="1640"/>
      <c r="B384" s="1640"/>
      <c r="C384" s="1640"/>
      <c r="D384" s="1864"/>
      <c r="E384" s="1864"/>
      <c r="F384" s="1864"/>
    </row>
    <row r="385" spans="1:6" ht="8.25" customHeight="1">
      <c r="A385" s="1640"/>
      <c r="B385" s="1640"/>
      <c r="C385" s="1640"/>
      <c r="D385" s="1864"/>
      <c r="E385" s="1864"/>
      <c r="F385" s="1864"/>
    </row>
    <row r="386" spans="1:6" ht="13.9" customHeight="1">
      <c r="A386" s="1640"/>
      <c r="B386" s="1640"/>
      <c r="C386" s="1640"/>
      <c r="D386" s="1864" t="s">
        <v>1321</v>
      </c>
      <c r="E386" s="1864"/>
      <c r="F386" s="1864"/>
    </row>
    <row r="387" spans="1:6">
      <c r="A387" s="1640"/>
      <c r="B387" s="1640"/>
      <c r="C387" s="1640"/>
      <c r="D387" s="1864"/>
      <c r="E387" s="1864"/>
      <c r="F387" s="1864"/>
    </row>
    <row r="388" spans="1:6">
      <c r="A388" s="1640"/>
      <c r="B388" s="1640"/>
      <c r="C388" s="1640"/>
      <c r="D388" s="1864"/>
      <c r="E388" s="1864"/>
      <c r="F388" s="1864"/>
    </row>
    <row r="389" spans="1:6">
      <c r="A389" s="1640"/>
      <c r="B389" s="1640"/>
      <c r="C389" s="1640"/>
      <c r="D389" s="1864"/>
      <c r="E389" s="1864"/>
      <c r="F389" s="1864"/>
    </row>
    <row r="390" spans="1:6">
      <c r="A390" s="1640"/>
      <c r="B390" s="1640"/>
      <c r="C390" s="1640"/>
      <c r="D390" s="1864"/>
      <c r="E390" s="1864"/>
      <c r="F390" s="1864"/>
    </row>
    <row r="391" spans="1:6">
      <c r="A391" s="1640"/>
      <c r="B391" s="1640"/>
      <c r="C391" s="1640"/>
      <c r="D391" s="1864"/>
      <c r="E391" s="1864"/>
      <c r="F391" s="1864"/>
    </row>
    <row r="392" spans="1:6">
      <c r="A392" s="1640"/>
      <c r="B392" s="1640"/>
      <c r="C392" s="1640"/>
      <c r="D392" s="1864"/>
      <c r="E392" s="1864"/>
      <c r="F392" s="1864"/>
    </row>
    <row r="393" spans="1:6">
      <c r="A393" s="1640"/>
      <c r="B393" s="1640"/>
      <c r="C393" s="1640"/>
      <c r="D393" s="1864"/>
      <c r="E393" s="1864"/>
      <c r="F393" s="1864"/>
    </row>
    <row r="394" spans="1:6">
      <c r="A394" s="1640"/>
      <c r="B394" s="1640"/>
      <c r="C394" s="1640"/>
      <c r="D394" s="1864"/>
      <c r="E394" s="1864"/>
      <c r="F394" s="1864"/>
    </row>
    <row r="395" spans="1:6">
      <c r="A395" s="1640"/>
      <c r="B395" s="1640"/>
      <c r="C395" s="1640"/>
      <c r="D395" s="1864"/>
      <c r="E395" s="1864"/>
      <c r="F395" s="1864"/>
    </row>
    <row r="396" spans="1:6">
      <c r="A396" s="1640"/>
      <c r="B396" s="1640"/>
      <c r="C396" s="1640"/>
      <c r="D396" s="1864"/>
      <c r="E396" s="1864"/>
      <c r="F396" s="1864"/>
    </row>
    <row r="397" spans="1:6">
      <c r="A397" s="1640"/>
      <c r="B397" s="1640"/>
      <c r="C397" s="1640"/>
      <c r="D397" s="1864"/>
      <c r="E397" s="1864"/>
      <c r="F397" s="1864"/>
    </row>
    <row r="398" spans="1:6">
      <c r="A398" s="1640"/>
      <c r="B398" s="1640"/>
      <c r="C398" s="786"/>
      <c r="D398" s="1864"/>
      <c r="E398" s="1864"/>
      <c r="F398" s="1864"/>
    </row>
    <row r="399" spans="1:6">
      <c r="A399" s="1640"/>
      <c r="B399" s="1640"/>
      <c r="C399" s="786"/>
      <c r="D399" s="1864"/>
      <c r="E399" s="1864"/>
      <c r="F399" s="1864"/>
    </row>
    <row r="400" spans="1:6">
      <c r="A400" s="1640"/>
      <c r="B400" s="1640"/>
      <c r="C400" s="1640"/>
      <c r="D400" s="1864"/>
      <c r="E400" s="1864"/>
      <c r="F400" s="1864"/>
    </row>
    <row r="401" spans="1:6">
      <c r="A401" s="1640"/>
      <c r="B401" s="1640"/>
      <c r="C401" s="786"/>
      <c r="D401" s="1864"/>
      <c r="E401" s="1864"/>
      <c r="F401" s="1864"/>
    </row>
    <row r="402" spans="1:6">
      <c r="A402" s="1640"/>
      <c r="B402" s="1640"/>
      <c r="C402" s="786"/>
      <c r="D402" s="1864"/>
      <c r="E402" s="1864"/>
      <c r="F402" s="1864"/>
    </row>
    <row r="403" spans="1:6">
      <c r="A403" s="1640"/>
      <c r="B403" s="1640"/>
      <c r="C403" s="786"/>
      <c r="D403" s="1864"/>
      <c r="E403" s="1864"/>
      <c r="F403" s="1864"/>
    </row>
    <row r="404" spans="1:6">
      <c r="A404" s="1640"/>
      <c r="B404" s="1640"/>
      <c r="C404" s="1640"/>
      <c r="D404" s="1724"/>
      <c r="E404" s="1724"/>
      <c r="F404" s="1727"/>
    </row>
    <row r="405" spans="1:6">
      <c r="A405" s="1640"/>
      <c r="B405" s="1703" t="s">
        <v>2596</v>
      </c>
      <c r="C405" s="1640"/>
      <c r="D405" s="1864" t="s">
        <v>1322</v>
      </c>
      <c r="E405" s="1864"/>
      <c r="F405" s="1864"/>
    </row>
    <row r="406" spans="1:6">
      <c r="A406" s="1640"/>
      <c r="B406" s="1640"/>
      <c r="C406" s="1640"/>
      <c r="D406" s="1864"/>
      <c r="E406" s="1864"/>
      <c r="F406" s="1864"/>
    </row>
    <row r="407" spans="1:6">
      <c r="A407" s="1640"/>
      <c r="B407" s="1640"/>
      <c r="C407" s="1640"/>
      <c r="D407" s="1740"/>
      <c r="E407" s="1740"/>
      <c r="F407" s="1740"/>
    </row>
    <row r="408" spans="1:6" ht="14.65" customHeight="1">
      <c r="A408" s="1726"/>
      <c r="B408" s="1703" t="s">
        <v>2596</v>
      </c>
      <c r="D408" s="1864" t="s">
        <v>1538</v>
      </c>
      <c r="E408" s="1864"/>
      <c r="F408" s="1864"/>
    </row>
    <row r="409" spans="1:6" ht="14.65" customHeight="1">
      <c r="A409" s="1726"/>
      <c r="D409" s="1864"/>
      <c r="E409" s="1864"/>
      <c r="F409" s="1864"/>
    </row>
    <row r="410" spans="1:6" ht="14.65" customHeight="1">
      <c r="A410" s="1726"/>
      <c r="D410" s="1864"/>
      <c r="E410" s="1864"/>
      <c r="F410" s="1864"/>
    </row>
    <row r="411" spans="1:6" ht="14.65" customHeight="1">
      <c r="A411" s="1726"/>
      <c r="D411" s="1864"/>
      <c r="E411" s="1864"/>
      <c r="F411" s="1864"/>
    </row>
    <row r="412" spans="1:6" ht="14.65" customHeight="1">
      <c r="A412" s="1726"/>
      <c r="D412" s="1864"/>
      <c r="E412" s="1864"/>
      <c r="F412" s="1864"/>
    </row>
    <row r="413" spans="1:6" ht="14.65" customHeight="1">
      <c r="A413" s="1726"/>
      <c r="D413" s="1737"/>
      <c r="E413" s="1737"/>
      <c r="F413" s="1737"/>
    </row>
    <row r="414" spans="1:6" ht="13.9" customHeight="1">
      <c r="A414" s="1726"/>
      <c r="B414" s="1703" t="s">
        <v>2596</v>
      </c>
      <c r="C414" s="1640"/>
      <c r="D414" s="1864" t="s">
        <v>1467</v>
      </c>
      <c r="E414" s="1864"/>
      <c r="F414" s="1864"/>
    </row>
    <row r="415" spans="1:6" ht="14.25">
      <c r="A415" s="1743"/>
      <c r="B415" s="1743"/>
      <c r="C415" s="1640"/>
      <c r="D415" s="1864"/>
      <c r="E415" s="1864"/>
      <c r="F415" s="1864"/>
    </row>
    <row r="416" spans="1:6" ht="14.25">
      <c r="A416" s="1743"/>
      <c r="B416" s="1743"/>
      <c r="C416" s="1640"/>
      <c r="D416" s="1864"/>
      <c r="E416" s="1864"/>
      <c r="F416" s="1864"/>
    </row>
    <row r="417" spans="1:6" ht="14.25">
      <c r="A417" s="1743"/>
      <c r="B417" s="1743"/>
      <c r="C417" s="1640"/>
      <c r="D417" s="1864"/>
      <c r="E417" s="1864"/>
      <c r="F417" s="1864"/>
    </row>
    <row r="418" spans="1:6" ht="15.75" customHeight="1">
      <c r="A418" s="1743"/>
      <c r="B418" s="1743"/>
      <c r="C418" s="1640"/>
      <c r="D418" s="1872" t="s">
        <v>1517</v>
      </c>
      <c r="E418" s="1864"/>
      <c r="F418" s="1864"/>
    </row>
    <row r="419" spans="1:6">
      <c r="D419" s="1727"/>
      <c r="E419" s="1727"/>
      <c r="F419" s="1727"/>
    </row>
    <row r="420" spans="1:6" ht="14.25">
      <c r="A420" s="1726"/>
      <c r="B420" s="1703" t="s">
        <v>2596</v>
      </c>
      <c r="C420" s="1735"/>
      <c r="D420" s="1858" t="s">
        <v>1324</v>
      </c>
      <c r="E420" s="1858"/>
      <c r="F420" s="1858"/>
    </row>
    <row r="421" spans="1:6" ht="14.25">
      <c r="A421" s="1726"/>
      <c r="B421" s="1726"/>
      <c r="D421" s="1858"/>
      <c r="E421" s="1858"/>
      <c r="F421" s="1858"/>
    </row>
    <row r="422" spans="1:6">
      <c r="D422" s="1858"/>
      <c r="E422" s="1858"/>
      <c r="F422" s="1858"/>
    </row>
    <row r="423" spans="1:6">
      <c r="D423" s="1858"/>
      <c r="E423" s="1858"/>
      <c r="F423" s="1858"/>
    </row>
    <row r="424" spans="1:6">
      <c r="D424" s="1858"/>
      <c r="E424" s="1858"/>
      <c r="F424" s="1858"/>
    </row>
    <row r="425" spans="1:6">
      <c r="D425" s="1858"/>
      <c r="E425" s="1858"/>
      <c r="F425" s="1858"/>
    </row>
    <row r="426" spans="1:6">
      <c r="D426" s="1858"/>
      <c r="E426" s="1858"/>
      <c r="F426" s="1858"/>
    </row>
    <row r="427" spans="1:6">
      <c r="D427" s="1858"/>
      <c r="E427" s="1858"/>
      <c r="F427" s="1858"/>
    </row>
    <row r="428" spans="1:6">
      <c r="D428" s="1858"/>
      <c r="E428" s="1858"/>
      <c r="F428" s="1858"/>
    </row>
    <row r="429" spans="1:6">
      <c r="D429" s="1858"/>
      <c r="E429" s="1858"/>
      <c r="F429" s="1858"/>
    </row>
    <row r="430" spans="1:6">
      <c r="D430" s="1858"/>
      <c r="E430" s="1858"/>
      <c r="F430" s="1858"/>
    </row>
    <row r="431" spans="1:6">
      <c r="D431" s="1858"/>
      <c r="E431" s="1858"/>
      <c r="F431" s="1858"/>
    </row>
    <row r="432" spans="1:6">
      <c r="D432" s="1858"/>
      <c r="E432" s="1858"/>
      <c r="F432" s="1858"/>
    </row>
    <row r="433" spans="1:6">
      <c r="A433" s="1639"/>
      <c r="B433" s="1639"/>
      <c r="C433" s="1639"/>
      <c r="D433" s="1858"/>
      <c r="E433" s="1858"/>
      <c r="F433" s="1858"/>
    </row>
    <row r="434" spans="1:6">
      <c r="A434" s="1639"/>
      <c r="B434" s="1639"/>
      <c r="C434" s="1639"/>
      <c r="D434" s="1858"/>
      <c r="E434" s="1858"/>
      <c r="F434" s="1858"/>
    </row>
    <row r="435" spans="1:6">
      <c r="A435" s="1639"/>
      <c r="B435" s="1639"/>
      <c r="C435" s="1639"/>
      <c r="D435" s="1858"/>
      <c r="E435" s="1858"/>
      <c r="F435" s="1858"/>
    </row>
    <row r="436" spans="1:6">
      <c r="A436" s="1639"/>
      <c r="B436" s="1639"/>
      <c r="C436" s="1639"/>
      <c r="D436" s="1858"/>
      <c r="E436" s="1858"/>
      <c r="F436" s="1858"/>
    </row>
    <row r="437" spans="1:6">
      <c r="A437" s="1639"/>
      <c r="B437" s="1639"/>
      <c r="C437" s="1639"/>
      <c r="D437" s="1858"/>
      <c r="E437" s="1858"/>
      <c r="F437" s="1858"/>
    </row>
    <row r="438" spans="1:6">
      <c r="A438" s="1639"/>
      <c r="B438" s="1639"/>
      <c r="C438" s="1639"/>
      <c r="D438" s="1858"/>
      <c r="E438" s="1858"/>
      <c r="F438" s="1858"/>
    </row>
    <row r="439" spans="1:6">
      <c r="A439" s="1639"/>
      <c r="B439" s="1639"/>
      <c r="C439" s="1639"/>
      <c r="D439" s="1858"/>
      <c r="E439" s="1858"/>
      <c r="F439" s="1858"/>
    </row>
    <row r="440" spans="1:6">
      <c r="A440" s="1639"/>
      <c r="B440" s="1639"/>
      <c r="C440" s="1639"/>
      <c r="D440" s="1858"/>
      <c r="E440" s="1858"/>
      <c r="F440" s="1858"/>
    </row>
    <row r="441" spans="1:6">
      <c r="A441" s="1639"/>
      <c r="B441" s="1639"/>
      <c r="C441" s="1639"/>
      <c r="D441" s="1858"/>
      <c r="E441" s="1858"/>
      <c r="F441" s="1858"/>
    </row>
    <row r="442" spans="1:6">
      <c r="A442" s="1639"/>
      <c r="B442" s="1639"/>
      <c r="C442" s="1639"/>
      <c r="D442" s="1858"/>
      <c r="E442" s="1858"/>
      <c r="F442" s="1858"/>
    </row>
    <row r="443" spans="1:6">
      <c r="A443" s="1639"/>
      <c r="B443" s="1639"/>
      <c r="C443" s="1639"/>
      <c r="D443" s="1858"/>
      <c r="E443" s="1858"/>
      <c r="F443" s="1858"/>
    </row>
    <row r="444" spans="1:6">
      <c r="A444" s="1639"/>
      <c r="B444" s="1639"/>
      <c r="C444" s="1639"/>
      <c r="D444" s="1858"/>
      <c r="E444" s="1858"/>
      <c r="F444" s="1858"/>
    </row>
    <row r="445" spans="1:6">
      <c r="A445" s="1639"/>
      <c r="B445" s="1639"/>
      <c r="C445" s="1639"/>
      <c r="D445" s="1858"/>
      <c r="E445" s="1858"/>
      <c r="F445" s="1858"/>
    </row>
    <row r="446" spans="1:6">
      <c r="A446" s="1639"/>
      <c r="B446" s="1639"/>
      <c r="C446" s="1639"/>
      <c r="D446" s="1858"/>
      <c r="E446" s="1858"/>
      <c r="F446" s="1858"/>
    </row>
    <row r="447" spans="1:6">
      <c r="A447" s="1639"/>
      <c r="B447" s="1639"/>
      <c r="C447" s="1639"/>
      <c r="D447" s="1858"/>
      <c r="E447" s="1858"/>
      <c r="F447" s="1858"/>
    </row>
    <row r="448" spans="1:6">
      <c r="A448" s="1639"/>
      <c r="B448" s="1639"/>
      <c r="C448" s="1639"/>
      <c r="D448" s="1858"/>
      <c r="E448" s="1858"/>
      <c r="F448" s="1858"/>
    </row>
    <row r="449" spans="1:6">
      <c r="D449" s="1858"/>
      <c r="E449" s="1858"/>
      <c r="F449" s="1858"/>
    </row>
    <row r="450" spans="1:6" ht="40.9" customHeight="1">
      <c r="D450" s="1858"/>
      <c r="E450" s="1858"/>
      <c r="F450" s="1858"/>
    </row>
    <row r="451" spans="1:6">
      <c r="D451" s="1727"/>
      <c r="E451" s="1727"/>
      <c r="F451" s="1727"/>
    </row>
    <row r="452" spans="1:6" ht="14.25">
      <c r="A452" s="1726"/>
      <c r="B452" s="1703" t="s">
        <v>2596</v>
      </c>
      <c r="C452" s="1735"/>
      <c r="D452" s="1857" t="s">
        <v>1325</v>
      </c>
      <c r="E452" s="1857"/>
      <c r="F452" s="1857"/>
    </row>
    <row r="453" spans="1:6">
      <c r="D453" s="1791" t="s">
        <v>1464</v>
      </c>
      <c r="E453" s="1791"/>
      <c r="F453" s="1791"/>
    </row>
    <row r="454" spans="1:6">
      <c r="D454" s="1858" t="s">
        <v>1463</v>
      </c>
      <c r="E454" s="1858"/>
      <c r="F454" s="1858"/>
    </row>
    <row r="455" spans="1:6">
      <c r="D455" s="1858"/>
      <c r="E455" s="1858"/>
      <c r="F455" s="1858"/>
    </row>
    <row r="456" spans="1:6">
      <c r="D456" s="1858"/>
      <c r="E456" s="1858"/>
      <c r="F456" s="1858"/>
    </row>
    <row r="457" spans="1:6">
      <c r="D457" s="1727"/>
      <c r="E457" s="1727"/>
      <c r="F457" s="1727"/>
    </row>
    <row r="458" spans="1:6" ht="14.25">
      <c r="A458" s="1726"/>
      <c r="B458" s="1703" t="s">
        <v>2596</v>
      </c>
      <c r="C458" s="1735"/>
      <c r="D458" s="1858" t="s">
        <v>1327</v>
      </c>
      <c r="E458" s="1858"/>
      <c r="F458" s="1858"/>
    </row>
    <row r="459" spans="1:6">
      <c r="D459" s="1858"/>
      <c r="E459" s="1858"/>
      <c r="F459" s="1858"/>
    </row>
    <row r="460" spans="1:6">
      <c r="D460" s="1858"/>
      <c r="E460" s="1858"/>
      <c r="F460" s="1858"/>
    </row>
    <row r="461" spans="1:6">
      <c r="D461" s="1701"/>
      <c r="E461" s="1701"/>
      <c r="F461" s="1701"/>
    </row>
    <row r="462" spans="1:6" ht="14.25">
      <c r="B462" s="1703" t="s">
        <v>2596</v>
      </c>
      <c r="C462" s="1726"/>
      <c r="D462" s="1858" t="s">
        <v>1410</v>
      </c>
      <c r="E462" s="1858"/>
      <c r="F462" s="1858"/>
    </row>
    <row r="463" spans="1:6">
      <c r="D463" s="1858"/>
      <c r="E463" s="1858"/>
      <c r="F463" s="1858"/>
    </row>
    <row r="464" spans="1:6">
      <c r="D464" s="1727"/>
      <c r="E464" s="1727"/>
      <c r="F464" s="1727"/>
    </row>
    <row r="465" spans="1:6" ht="14.25">
      <c r="B465" s="1703" t="s">
        <v>2596</v>
      </c>
      <c r="C465" s="1726"/>
      <c r="D465" s="1858" t="s">
        <v>1329</v>
      </c>
      <c r="E465" s="1858"/>
      <c r="F465" s="1858"/>
    </row>
    <row r="466" spans="1:6">
      <c r="D466" s="1858"/>
      <c r="E466" s="1858"/>
      <c r="F466" s="1858"/>
    </row>
    <row r="467" spans="1:6">
      <c r="D467" s="1858"/>
      <c r="E467" s="1858"/>
      <c r="F467" s="1858"/>
    </row>
    <row r="468" spans="1:6">
      <c r="D468" s="1858"/>
      <c r="E468" s="1858"/>
      <c r="F468" s="1858"/>
    </row>
    <row r="469" spans="1:6">
      <c r="B469" s="1703" t="s">
        <v>2596</v>
      </c>
      <c r="D469" s="1858"/>
      <c r="E469" s="1858"/>
      <c r="F469" s="1858"/>
    </row>
    <row r="470" spans="1:6">
      <c r="A470" s="1639"/>
      <c r="B470" s="1639"/>
      <c r="C470" s="1639"/>
      <c r="D470" s="1858"/>
      <c r="E470" s="1858"/>
      <c r="F470" s="1858"/>
    </row>
    <row r="471" spans="1:6">
      <c r="A471" s="1639"/>
      <c r="C471" s="1639"/>
      <c r="D471" s="1858"/>
      <c r="E471" s="1858"/>
      <c r="F471" s="1858"/>
    </row>
    <row r="472" spans="1:6">
      <c r="A472" s="1639"/>
      <c r="B472" s="1703" t="s">
        <v>2596</v>
      </c>
      <c r="C472" s="1639"/>
      <c r="D472" s="1858"/>
      <c r="E472" s="1858"/>
      <c r="F472" s="1858"/>
    </row>
    <row r="473" spans="1:6">
      <c r="A473" s="1639"/>
      <c r="B473" s="1639"/>
      <c r="C473" s="1639"/>
      <c r="D473" s="1858"/>
      <c r="E473" s="1858"/>
      <c r="F473" s="1858"/>
    </row>
    <row r="474" spans="1:6">
      <c r="A474" s="1639"/>
      <c r="C474" s="1639"/>
      <c r="D474" s="1858"/>
      <c r="E474" s="1858"/>
      <c r="F474" s="1858"/>
    </row>
    <row r="475" spans="1:6">
      <c r="A475" s="1639"/>
      <c r="C475" s="1639"/>
      <c r="D475" s="1858"/>
      <c r="E475" s="1858"/>
      <c r="F475" s="1858"/>
    </row>
    <row r="476" spans="1:6">
      <c r="A476" s="1639"/>
      <c r="B476" s="1703" t="s">
        <v>2596</v>
      </c>
      <c r="C476" s="1639"/>
      <c r="D476" s="1858"/>
      <c r="E476" s="1858"/>
      <c r="F476" s="1858"/>
    </row>
    <row r="477" spans="1:6">
      <c r="A477" s="1639"/>
      <c r="B477" s="1639"/>
      <c r="C477" s="1639"/>
      <c r="D477" s="1858"/>
      <c r="E477" s="1858"/>
      <c r="F477" s="1858"/>
    </row>
    <row r="478" spans="1:6">
      <c r="A478" s="1639"/>
      <c r="B478" s="1703" t="s">
        <v>2596</v>
      </c>
      <c r="C478" s="1639"/>
      <c r="D478" s="1858"/>
      <c r="E478" s="1858"/>
      <c r="F478" s="1858"/>
    </row>
    <row r="479" spans="1:6">
      <c r="A479" s="1639"/>
      <c r="B479" s="1639"/>
      <c r="C479" s="1639"/>
      <c r="D479" s="1701"/>
      <c r="E479" s="1701"/>
      <c r="F479" s="1701"/>
    </row>
    <row r="480" spans="1:6">
      <c r="A480" s="1639"/>
      <c r="B480" s="1703" t="s">
        <v>2596</v>
      </c>
      <c r="C480" s="1639"/>
      <c r="D480" s="1858" t="s">
        <v>1330</v>
      </c>
      <c r="E480" s="1858"/>
      <c r="F480" s="1858"/>
    </row>
    <row r="481" spans="1:7">
      <c r="A481" s="1639"/>
      <c r="B481" s="1639"/>
      <c r="C481" s="1639"/>
      <c r="D481" s="1858"/>
      <c r="E481" s="1858"/>
      <c r="F481" s="1858"/>
    </row>
    <row r="482" spans="1:7">
      <c r="A482" s="1639"/>
      <c r="B482" s="1639"/>
      <c r="C482" s="1639"/>
      <c r="D482" s="1858"/>
      <c r="E482" s="1858"/>
      <c r="F482" s="1858"/>
    </row>
    <row r="483" spans="1:7">
      <c r="A483" s="1639"/>
      <c r="B483" s="1639"/>
      <c r="C483" s="1639"/>
      <c r="D483" s="1858"/>
      <c r="E483" s="1858"/>
      <c r="F483" s="1858"/>
    </row>
    <row r="484" spans="1:7">
      <c r="D484" s="1858"/>
      <c r="E484" s="1858"/>
      <c r="F484" s="1858"/>
    </row>
    <row r="485" spans="1:7">
      <c r="D485" s="1727"/>
      <c r="E485" s="1727"/>
      <c r="F485" s="1727"/>
    </row>
    <row r="486" spans="1:7">
      <c r="B486" s="1703" t="s">
        <v>2596</v>
      </c>
      <c r="D486" s="1857" t="s">
        <v>1331</v>
      </c>
      <c r="E486" s="1857"/>
      <c r="F486" s="1857"/>
    </row>
    <row r="487" spans="1:7">
      <c r="A487" s="1727"/>
      <c r="B487" s="1727"/>
    </row>
    <row r="488" spans="1:7">
      <c r="A488" s="1817" t="s">
        <v>1172</v>
      </c>
      <c r="B488" s="1817"/>
      <c r="C488" s="1817"/>
      <c r="D488" s="1817"/>
      <c r="E488" s="1817"/>
      <c r="F488" s="1817"/>
      <c r="G488" s="1817"/>
    </row>
    <row r="489" spans="1:7">
      <c r="A489" s="1727"/>
      <c r="B489" s="1727"/>
    </row>
    <row r="490" spans="1:7">
      <c r="D490" s="1873" t="s">
        <v>952</v>
      </c>
      <c r="E490" s="1873"/>
      <c r="F490" s="1873"/>
    </row>
    <row r="491" spans="1:7" ht="14.25">
      <c r="A491" s="1726"/>
      <c r="B491" s="1726"/>
      <c r="D491" s="1863" t="s">
        <v>1332</v>
      </c>
      <c r="E491" s="1863"/>
      <c r="F491" s="1863"/>
    </row>
    <row r="492" spans="1:7" ht="14.25">
      <c r="A492" s="1726"/>
      <c r="B492" s="1726"/>
      <c r="D492" s="1724"/>
    </row>
    <row r="493" spans="1:7" ht="14.25">
      <c r="A493" s="1726"/>
      <c r="B493" s="1703" t="s">
        <v>2596</v>
      </c>
      <c r="D493" s="1864" t="s">
        <v>1333</v>
      </c>
      <c r="E493" s="1864"/>
      <c r="F493" s="1864"/>
    </row>
    <row r="494" spans="1:7" ht="14.25">
      <c r="A494" s="1726"/>
      <c r="B494" s="1726"/>
      <c r="D494" s="1864"/>
      <c r="E494" s="1864"/>
      <c r="F494" s="1864"/>
    </row>
    <row r="495" spans="1:7" ht="14.25">
      <c r="A495" s="1726"/>
      <c r="B495" s="1726"/>
      <c r="D495" s="1727"/>
    </row>
    <row r="496" spans="1:7" ht="12.75" customHeight="1">
      <c r="B496" s="1703" t="s">
        <v>2596</v>
      </c>
      <c r="D496" s="1865" t="s">
        <v>1518</v>
      </c>
      <c r="E496" s="1865"/>
      <c r="F496" s="1865"/>
    </row>
    <row r="497" spans="1:7" ht="14.25">
      <c r="A497" s="1726"/>
      <c r="D497" s="1865"/>
      <c r="E497" s="1865"/>
      <c r="F497" s="1865"/>
    </row>
    <row r="498" spans="1:7" ht="14.25">
      <c r="A498" s="1726"/>
      <c r="B498" s="1726"/>
      <c r="D498" s="1865"/>
      <c r="E498" s="1865"/>
      <c r="F498" s="1865"/>
    </row>
    <row r="499" spans="1:7" ht="14.25">
      <c r="A499" s="1726"/>
      <c r="B499" s="1726"/>
      <c r="D499" s="1865"/>
      <c r="E499" s="1865"/>
      <c r="F499" s="1865"/>
    </row>
    <row r="500" spans="1:7" ht="14.25">
      <c r="A500" s="1726"/>
      <c r="D500" s="1742"/>
      <c r="E500" s="1742"/>
      <c r="F500" s="1742"/>
    </row>
    <row r="501" spans="1:7" ht="14.25">
      <c r="A501" s="1726"/>
      <c r="B501" s="1703" t="s">
        <v>2596</v>
      </c>
      <c r="D501" s="1857" t="s">
        <v>1336</v>
      </c>
      <c r="E501" s="1857"/>
      <c r="F501" s="1857"/>
    </row>
    <row r="502" spans="1:7" ht="14.25">
      <c r="A502" s="1726"/>
      <c r="B502" s="1726"/>
      <c r="D502" s="1727"/>
    </row>
    <row r="503" spans="1:7" ht="14.25">
      <c r="A503" s="1726"/>
      <c r="B503" s="1703" t="s">
        <v>2596</v>
      </c>
      <c r="D503" s="1858" t="s">
        <v>1337</v>
      </c>
      <c r="E503" s="1858"/>
      <c r="F503" s="1858"/>
    </row>
    <row r="504" spans="1:7" ht="14.25">
      <c r="A504" s="1726"/>
      <c r="D504" s="1858"/>
      <c r="E504" s="1858"/>
      <c r="F504" s="1858"/>
    </row>
    <row r="505" spans="1:7">
      <c r="A505" s="1732"/>
      <c r="B505" s="1732"/>
      <c r="D505" s="1724"/>
    </row>
    <row r="506" spans="1:7">
      <c r="A506" s="1732"/>
      <c r="B506" s="1703" t="s">
        <v>2596</v>
      </c>
      <c r="D506" s="1857" t="s">
        <v>1338</v>
      </c>
      <c r="E506" s="1857"/>
      <c r="F506" s="1857"/>
    </row>
    <row r="507" spans="1:7" ht="14.25">
      <c r="A507" s="1726"/>
      <c r="B507" s="1726"/>
      <c r="D507" s="1727"/>
    </row>
    <row r="508" spans="1:7">
      <c r="A508" s="1817" t="s">
        <v>1173</v>
      </c>
      <c r="B508" s="1817"/>
      <c r="C508" s="1817"/>
      <c r="D508" s="1817"/>
      <c r="E508" s="1817"/>
      <c r="F508" s="1817"/>
      <c r="G508" s="1817"/>
    </row>
    <row r="509" spans="1:7" ht="12" customHeight="1">
      <c r="A509" s="1726"/>
      <c r="B509" s="1726"/>
      <c r="D509" s="1727"/>
    </row>
    <row r="510" spans="1:7">
      <c r="C510" s="1734"/>
      <c r="D510" s="1798" t="s">
        <v>855</v>
      </c>
      <c r="E510" s="1798"/>
      <c r="F510" s="1798"/>
    </row>
    <row r="511" spans="1:7">
      <c r="C511" s="1734"/>
      <c r="D511" s="1741" t="s">
        <v>1412</v>
      </c>
      <c r="E511" s="1741"/>
      <c r="F511" s="1741"/>
    </row>
    <row r="512" spans="1:7">
      <c r="C512" s="1734"/>
      <c r="D512" s="1741" t="s">
        <v>1413</v>
      </c>
      <c r="E512" s="1741"/>
      <c r="F512" s="1741"/>
    </row>
    <row r="513" spans="1:7">
      <c r="C513" s="1734"/>
      <c r="D513" s="1695"/>
      <c r="E513" s="1695"/>
      <c r="F513" s="1695"/>
    </row>
    <row r="514" spans="1:7" ht="13.9" customHeight="1">
      <c r="A514" s="783"/>
      <c r="B514" s="1703" t="s">
        <v>2595</v>
      </c>
      <c r="C514" s="783"/>
      <c r="D514" s="1864" t="s">
        <v>2286</v>
      </c>
      <c r="E514" s="1864"/>
      <c r="F514" s="1864"/>
    </row>
    <row r="515" spans="1:7">
      <c r="A515" s="783"/>
      <c r="B515" s="783"/>
      <c r="C515" s="783"/>
      <c r="D515" s="1864"/>
      <c r="E515" s="1864"/>
      <c r="F515" s="1864"/>
    </row>
    <row r="516" spans="1:7">
      <c r="A516" s="783"/>
      <c r="B516" s="783"/>
      <c r="C516" s="783"/>
      <c r="D516" s="1740"/>
      <c r="E516" s="1740"/>
      <c r="F516" s="1740"/>
    </row>
    <row r="517" spans="1:7">
      <c r="A517" s="783"/>
      <c r="B517" s="1703" t="s">
        <v>2596</v>
      </c>
      <c r="D517" s="1864" t="s">
        <v>1211</v>
      </c>
      <c r="E517" s="1864"/>
      <c r="F517" s="1864"/>
    </row>
    <row r="518" spans="1:7">
      <c r="A518" s="783"/>
      <c r="B518" s="783"/>
      <c r="D518" s="1864"/>
      <c r="E518" s="1864"/>
      <c r="F518" s="1864"/>
    </row>
    <row r="519" spans="1:7">
      <c r="A519" s="783"/>
      <c r="B519" s="783"/>
      <c r="C519" s="783"/>
      <c r="D519" s="1864"/>
      <c r="E519" s="1864"/>
      <c r="F519" s="1864"/>
    </row>
    <row r="520" spans="1:7">
      <c r="A520" s="783"/>
      <c r="B520" s="783"/>
      <c r="C520" s="783"/>
      <c r="D520" s="1739"/>
      <c r="F520" s="1727"/>
    </row>
    <row r="521" spans="1:7" ht="13.15" customHeight="1">
      <c r="A521" s="783"/>
      <c r="B521" s="1703" t="s">
        <v>2596</v>
      </c>
      <c r="C521" s="783"/>
      <c r="D521" s="1858" t="s">
        <v>1237</v>
      </c>
      <c r="E521" s="1858"/>
      <c r="F521" s="1858"/>
    </row>
    <row r="522" spans="1:7">
      <c r="A522" s="783"/>
      <c r="B522" s="783"/>
      <c r="C522" s="783"/>
      <c r="D522" s="1858"/>
      <c r="E522" s="1858"/>
      <c r="F522" s="1858"/>
    </row>
    <row r="523" spans="1:7" ht="12" customHeight="1">
      <c r="A523" s="1727"/>
      <c r="B523" s="1727"/>
      <c r="C523" s="1735"/>
      <c r="D523" s="1727"/>
      <c r="F523" s="1700"/>
    </row>
    <row r="524" spans="1:7">
      <c r="A524" s="1817" t="s">
        <v>1174</v>
      </c>
      <c r="B524" s="1817"/>
      <c r="C524" s="1817"/>
      <c r="D524" s="1817"/>
      <c r="E524" s="1817"/>
      <c r="F524" s="1817"/>
      <c r="G524" s="1817"/>
    </row>
    <row r="525" spans="1:7">
      <c r="A525" s="1727"/>
      <c r="B525" s="1727"/>
      <c r="C525" s="1735"/>
      <c r="F525" s="1700"/>
    </row>
    <row r="526" spans="1:7">
      <c r="B526" s="1859" t="s">
        <v>472</v>
      </c>
      <c r="C526" s="1859"/>
      <c r="D526" s="1859"/>
      <c r="E526" s="1859"/>
      <c r="F526" s="1859"/>
    </row>
    <row r="527" spans="1:7">
      <c r="A527" s="1727"/>
      <c r="B527" s="1727"/>
      <c r="C527" s="1735"/>
      <c r="D527" s="1727"/>
      <c r="F527" s="1727"/>
    </row>
    <row r="528" spans="1:7">
      <c r="A528" s="1874" t="s">
        <v>1175</v>
      </c>
      <c r="B528" s="1874"/>
      <c r="C528" s="1874"/>
      <c r="D528" s="1874"/>
      <c r="E528" s="1874"/>
      <c r="F528" s="1874"/>
      <c r="G528" s="1874"/>
    </row>
    <row r="529" spans="1:6">
      <c r="A529" s="1727"/>
      <c r="B529" s="1727"/>
      <c r="C529" s="1735"/>
      <c r="D529" s="1727"/>
      <c r="F529" s="1727"/>
    </row>
    <row r="530" spans="1:6">
      <c r="C530" s="1735"/>
      <c r="D530" s="1798" t="s">
        <v>722</v>
      </c>
      <c r="E530" s="1798"/>
      <c r="F530" s="1798"/>
    </row>
    <row r="531" spans="1:6">
      <c r="C531" s="1735"/>
      <c r="D531" s="1857" t="s">
        <v>1232</v>
      </c>
      <c r="E531" s="1857"/>
      <c r="F531" s="1857"/>
    </row>
    <row r="532" spans="1:6">
      <c r="C532" s="1735"/>
      <c r="D532" s="1727"/>
      <c r="E532" s="1727"/>
      <c r="F532" s="1727"/>
    </row>
    <row r="533" spans="1:6" ht="13.9" customHeight="1">
      <c r="A533" s="1726"/>
      <c r="B533" s="1703" t="s">
        <v>2595</v>
      </c>
      <c r="C533" s="1735"/>
      <c r="D533" s="1857" t="s">
        <v>953</v>
      </c>
      <c r="E533" s="1857"/>
      <c r="F533" s="1857"/>
    </row>
    <row r="534" spans="1:6" ht="13.9" customHeight="1">
      <c r="A534" s="1735"/>
      <c r="B534" s="1735"/>
      <c r="C534" s="1735"/>
      <c r="D534" s="1727"/>
    </row>
    <row r="535" spans="1:6" ht="14.25">
      <c r="A535" s="1726"/>
      <c r="B535" s="1703" t="s">
        <v>2595</v>
      </c>
      <c r="C535" s="1735"/>
      <c r="D535" s="1858" t="s">
        <v>1233</v>
      </c>
      <c r="E535" s="1858"/>
      <c r="F535" s="1858"/>
    </row>
    <row r="536" spans="1:6">
      <c r="A536" s="1735"/>
      <c r="B536" s="1735"/>
      <c r="C536" s="1735"/>
      <c r="D536" s="1858"/>
      <c r="E536" s="1858"/>
      <c r="F536" s="1858"/>
    </row>
    <row r="537" spans="1:6">
      <c r="A537" s="1735"/>
      <c r="B537" s="1735"/>
      <c r="C537" s="1735"/>
      <c r="D537" s="1727"/>
      <c r="E537" s="1727"/>
      <c r="F537" s="1727"/>
    </row>
    <row r="538" spans="1:6" ht="14.25">
      <c r="A538" s="1726"/>
      <c r="B538" s="1703" t="s">
        <v>2595</v>
      </c>
      <c r="C538" s="1735"/>
      <c r="D538" s="1858" t="s">
        <v>1234</v>
      </c>
      <c r="E538" s="1858"/>
      <c r="F538" s="1858"/>
    </row>
    <row r="539" spans="1:6">
      <c r="A539" s="1735"/>
      <c r="B539" s="1735"/>
      <c r="C539" s="1735"/>
      <c r="D539" s="1858"/>
      <c r="E539" s="1858"/>
      <c r="F539" s="1858"/>
    </row>
    <row r="540" spans="1:6">
      <c r="A540" s="1735"/>
      <c r="B540" s="1735"/>
      <c r="C540" s="1735"/>
      <c r="D540" s="1727"/>
      <c r="E540" s="1727"/>
      <c r="F540" s="1727"/>
    </row>
    <row r="541" spans="1:6" ht="14.25">
      <c r="A541" s="1726"/>
      <c r="B541" s="1703" t="s">
        <v>2595</v>
      </c>
      <c r="C541" s="1735"/>
      <c r="D541" s="1858" t="s">
        <v>1235</v>
      </c>
      <c r="E541" s="1858"/>
      <c r="F541" s="1858"/>
    </row>
    <row r="542" spans="1:6">
      <c r="A542" s="1735"/>
      <c r="B542" s="1735"/>
      <c r="C542" s="1735"/>
      <c r="D542" s="1858"/>
      <c r="E542" s="1858"/>
      <c r="F542" s="1858"/>
    </row>
    <row r="543" spans="1:6">
      <c r="A543" s="1735"/>
      <c r="B543" s="1735"/>
      <c r="C543" s="1735"/>
      <c r="D543" s="1727"/>
      <c r="E543" s="1727"/>
      <c r="F543" s="1727"/>
    </row>
    <row r="544" spans="1:6" ht="14.25">
      <c r="A544" s="1726"/>
      <c r="B544" s="1703" t="s">
        <v>2595</v>
      </c>
      <c r="C544" s="1735"/>
      <c r="D544" s="1858" t="s">
        <v>1236</v>
      </c>
      <c r="E544" s="1858"/>
      <c r="F544" s="1858"/>
    </row>
    <row r="545" spans="1:6">
      <c r="A545" s="1735"/>
      <c r="B545" s="1735"/>
      <c r="C545" s="1735"/>
      <c r="D545" s="1858"/>
      <c r="E545" s="1858"/>
      <c r="F545" s="1858"/>
    </row>
    <row r="546" spans="1:6">
      <c r="A546" s="1735"/>
      <c r="B546" s="1735"/>
      <c r="C546" s="1735"/>
      <c r="D546" s="1858"/>
      <c r="E546" s="1858"/>
      <c r="F546" s="1858"/>
    </row>
    <row r="547" spans="1:6">
      <c r="A547" s="1735"/>
      <c r="B547" s="1735"/>
      <c r="C547" s="1735"/>
      <c r="D547" s="1727"/>
      <c r="E547" s="1727"/>
      <c r="F547" s="1727"/>
    </row>
    <row r="548" spans="1:6" ht="14.25">
      <c r="A548" s="1726"/>
      <c r="B548" s="1703" t="s">
        <v>2595</v>
      </c>
      <c r="C548" s="1735"/>
      <c r="D548" s="1858" t="s">
        <v>1354</v>
      </c>
      <c r="E548" s="1858"/>
      <c r="F548" s="1858"/>
    </row>
    <row r="549" spans="1:6">
      <c r="A549" s="1735"/>
      <c r="B549" s="1735"/>
      <c r="C549" s="1735"/>
      <c r="D549" s="1858"/>
      <c r="E549" s="1858"/>
      <c r="F549" s="1858"/>
    </row>
    <row r="550" spans="1:6">
      <c r="A550" s="1735"/>
      <c r="B550" s="1735"/>
      <c r="C550" s="1735"/>
      <c r="D550" s="1727"/>
      <c r="E550" s="1727"/>
      <c r="F550" s="1727"/>
    </row>
    <row r="551" spans="1:6" ht="14.25">
      <c r="A551" s="1726"/>
      <c r="B551" s="1703" t="s">
        <v>2595</v>
      </c>
      <c r="C551" s="1735"/>
      <c r="D551" s="1858" t="s">
        <v>1238</v>
      </c>
      <c r="E551" s="1858"/>
      <c r="F551" s="1858"/>
    </row>
    <row r="552" spans="1:6">
      <c r="A552" s="1735"/>
      <c r="B552" s="1735"/>
      <c r="C552" s="1735"/>
      <c r="D552" s="1858"/>
      <c r="E552" s="1858"/>
      <c r="F552" s="1858"/>
    </row>
    <row r="553" spans="1:6">
      <c r="A553" s="1735"/>
      <c r="B553" s="1735"/>
      <c r="C553" s="1735"/>
      <c r="D553" s="1727"/>
      <c r="E553" s="1727"/>
      <c r="F553" s="1727"/>
    </row>
    <row r="554" spans="1:6" ht="14.25">
      <c r="A554" s="1726"/>
      <c r="B554" s="1703" t="s">
        <v>2595</v>
      </c>
      <c r="C554" s="1735"/>
      <c r="D554" s="1857" t="s">
        <v>1239</v>
      </c>
      <c r="E554" s="1857"/>
      <c r="F554" s="1857"/>
    </row>
    <row r="555" spans="1:6">
      <c r="A555" s="1732"/>
      <c r="B555" s="1732"/>
      <c r="C555" s="1735"/>
      <c r="D555" s="1857" t="s">
        <v>885</v>
      </c>
      <c r="E555" s="1857"/>
      <c r="F555" s="1857"/>
    </row>
    <row r="556" spans="1:6">
      <c r="A556" s="1732"/>
      <c r="B556" s="1732"/>
      <c r="C556" s="1735"/>
      <c r="E556" s="1867" t="s">
        <v>1240</v>
      </c>
      <c r="F556" s="1867"/>
    </row>
    <row r="557" spans="1:6" ht="14.25">
      <c r="A557" s="1726"/>
      <c r="B557" s="1726"/>
      <c r="C557" s="1735"/>
      <c r="E557" s="1727"/>
      <c r="F557" s="1727"/>
    </row>
    <row r="558" spans="1:6" ht="14.25">
      <c r="A558" s="1726"/>
      <c r="B558" s="1703" t="s">
        <v>2595</v>
      </c>
      <c r="C558" s="1735"/>
      <c r="D558" s="1857" t="s">
        <v>1241</v>
      </c>
      <c r="E558" s="1857"/>
      <c r="F558" s="1857"/>
    </row>
    <row r="559" spans="1:6">
      <c r="C559" s="1735"/>
      <c r="D559" s="1858" t="s">
        <v>1242</v>
      </c>
      <c r="E559" s="1858"/>
      <c r="F559" s="1858"/>
    </row>
    <row r="560" spans="1:6">
      <c r="A560" s="1735"/>
      <c r="B560" s="1735"/>
      <c r="C560" s="1735"/>
      <c r="D560" s="1858"/>
      <c r="E560" s="1858"/>
      <c r="F560" s="1858"/>
    </row>
    <row r="561" spans="1:7">
      <c r="A561" s="1735"/>
      <c r="B561" s="1735"/>
      <c r="C561" s="1735"/>
      <c r="D561" s="1858"/>
      <c r="E561" s="1858"/>
      <c r="F561" s="1858"/>
    </row>
    <row r="562" spans="1:7">
      <c r="A562" s="1735"/>
      <c r="B562" s="1735"/>
      <c r="C562" s="1735"/>
      <c r="D562" s="1727"/>
      <c r="E562" s="1727"/>
      <c r="F562" s="1727"/>
    </row>
    <row r="563" spans="1:7" ht="14.25">
      <c r="A563" s="1726"/>
      <c r="B563" s="1703" t="s">
        <v>2595</v>
      </c>
      <c r="C563" s="1735"/>
      <c r="D563" s="1858" t="s">
        <v>1243</v>
      </c>
      <c r="E563" s="1858"/>
      <c r="F563" s="1858"/>
    </row>
    <row r="564" spans="1:7" ht="14.25">
      <c r="A564" s="1726"/>
      <c r="B564" s="1726"/>
      <c r="C564" s="1735"/>
      <c r="D564" s="1858"/>
      <c r="E564" s="1858"/>
      <c r="F564" s="1858"/>
    </row>
    <row r="565" spans="1:7" ht="14.25">
      <c r="A565" s="1726"/>
      <c r="B565" s="1726"/>
      <c r="C565" s="1735"/>
      <c r="D565" s="1858"/>
      <c r="E565" s="1858"/>
      <c r="F565" s="1858"/>
    </row>
    <row r="566" spans="1:7" ht="14.25">
      <c r="A566" s="1726"/>
      <c r="B566" s="1726"/>
      <c r="C566" s="1735"/>
      <c r="D566" s="1858"/>
      <c r="E566" s="1858"/>
      <c r="F566" s="1858"/>
    </row>
    <row r="567" spans="1:7" ht="14.25">
      <c r="A567" s="1726"/>
      <c r="B567" s="1726"/>
      <c r="C567" s="1735"/>
      <c r="D567" s="1727"/>
      <c r="E567" s="1727"/>
      <c r="F567" s="1727"/>
    </row>
    <row r="568" spans="1:7">
      <c r="A568" s="1817" t="s">
        <v>1176</v>
      </c>
      <c r="B568" s="1817"/>
      <c r="C568" s="1817"/>
      <c r="D568" s="1817"/>
      <c r="E568" s="1817"/>
      <c r="F568" s="1817"/>
      <c r="G568" s="1817"/>
    </row>
    <row r="569" spans="1:7">
      <c r="A569" s="1735"/>
      <c r="B569" s="1735"/>
      <c r="C569" s="1735"/>
      <c r="E569" s="1727"/>
      <c r="F569" s="1727"/>
    </row>
    <row r="570" spans="1:7" ht="12.75" customHeight="1">
      <c r="C570" s="1734"/>
      <c r="D570" s="1860" t="s">
        <v>217</v>
      </c>
      <c r="E570" s="1860"/>
      <c r="F570" s="1860"/>
    </row>
    <row r="571" spans="1:7">
      <c r="A571" s="783"/>
      <c r="B571" s="783"/>
      <c r="C571" s="783"/>
      <c r="D571" s="1865" t="s">
        <v>1192</v>
      </c>
      <c r="E571" s="1865"/>
      <c r="F571" s="1865"/>
    </row>
    <row r="572" spans="1:7">
      <c r="A572" s="1639"/>
      <c r="B572" s="1639"/>
      <c r="C572" s="783"/>
      <c r="D572" s="1713"/>
    </row>
    <row r="573" spans="1:7">
      <c r="A573" s="783"/>
      <c r="B573" s="1703" t="s">
        <v>2595</v>
      </c>
      <c r="D573" s="1865" t="s">
        <v>959</v>
      </c>
      <c r="E573" s="1865"/>
      <c r="F573" s="1865"/>
    </row>
    <row r="574" spans="1:7">
      <c r="A574" s="1732"/>
      <c r="B574" s="1732"/>
      <c r="D574" s="1640"/>
    </row>
    <row r="575" spans="1:7">
      <c r="A575" s="1732"/>
      <c r="B575" s="1703" t="s">
        <v>2595</v>
      </c>
      <c r="D575" s="1865" t="s">
        <v>1193</v>
      </c>
      <c r="E575" s="1865"/>
      <c r="F575" s="1865"/>
    </row>
    <row r="576" spans="1:7">
      <c r="A576" s="1732"/>
      <c r="B576" s="1732"/>
      <c r="D576" s="1865"/>
      <c r="E576" s="1865"/>
      <c r="F576" s="1865"/>
    </row>
    <row r="577" spans="1:7">
      <c r="A577" s="1732"/>
      <c r="B577" s="1732"/>
      <c r="D577" s="1865"/>
      <c r="E577" s="1865"/>
      <c r="F577" s="1865"/>
    </row>
    <row r="578" spans="1:7">
      <c r="A578" s="1732"/>
      <c r="B578" s="1732"/>
      <c r="D578" s="1865"/>
      <c r="E578" s="1865"/>
      <c r="F578" s="1865"/>
    </row>
    <row r="579" spans="1:7">
      <c r="A579" s="1732"/>
      <c r="B579" s="1703" t="s">
        <v>2596</v>
      </c>
      <c r="D579" s="1865" t="s">
        <v>1194</v>
      </c>
      <c r="E579" s="1865"/>
      <c r="F579" s="1865"/>
    </row>
    <row r="580" spans="1:7">
      <c r="A580" s="1732"/>
      <c r="B580" s="1732"/>
      <c r="D580" s="1865"/>
      <c r="E580" s="1865"/>
      <c r="F580" s="1865"/>
    </row>
    <row r="581" spans="1:7">
      <c r="A581" s="1732"/>
      <c r="B581" s="1732"/>
      <c r="D581" s="1865"/>
      <c r="E581" s="1865"/>
      <c r="F581" s="1865"/>
    </row>
    <row r="582" spans="1:7">
      <c r="A582" s="1732"/>
      <c r="B582" s="1732"/>
      <c r="D582" s="1865"/>
      <c r="E582" s="1865"/>
      <c r="F582" s="1865"/>
    </row>
    <row r="583" spans="1:7">
      <c r="A583" s="1732"/>
      <c r="B583" s="1732"/>
      <c r="D583" s="1714"/>
      <c r="E583" s="1714"/>
      <c r="F583" s="1714"/>
    </row>
    <row r="584" spans="1:7">
      <c r="A584" s="1732"/>
      <c r="B584" s="1703" t="s">
        <v>2595</v>
      </c>
      <c r="D584" s="1865" t="s">
        <v>1195</v>
      </c>
      <c r="E584" s="1865"/>
      <c r="F584" s="1865"/>
    </row>
    <row r="585" spans="1:7">
      <c r="A585" s="1732"/>
      <c r="B585" s="1732"/>
      <c r="D585" s="1865"/>
      <c r="E585" s="1865"/>
      <c r="F585" s="1865"/>
    </row>
    <row r="586" spans="1:7">
      <c r="A586" s="1732"/>
      <c r="B586" s="1732"/>
      <c r="D586" s="1713"/>
    </row>
    <row r="587" spans="1:7">
      <c r="A587" s="1732"/>
      <c r="B587" s="1703" t="s">
        <v>2596</v>
      </c>
      <c r="D587" s="1865" t="s">
        <v>1196</v>
      </c>
      <c r="E587" s="1865"/>
      <c r="F587" s="1865"/>
    </row>
    <row r="588" spans="1:7">
      <c r="A588" s="1732"/>
      <c r="B588" s="1732"/>
      <c r="D588" s="1865"/>
      <c r="E588" s="1865"/>
      <c r="F588" s="1865"/>
    </row>
    <row r="589" spans="1:7">
      <c r="A589" s="1732"/>
      <c r="B589" s="1732"/>
      <c r="D589" s="1713"/>
    </row>
    <row r="590" spans="1:7" ht="14.25">
      <c r="A590" s="1726"/>
      <c r="B590" s="1703" t="s">
        <v>2595</v>
      </c>
      <c r="D590" s="1865" t="s">
        <v>954</v>
      </c>
      <c r="E590" s="1865"/>
      <c r="F590" s="1865"/>
    </row>
    <row r="591" spans="1:7" ht="14.25">
      <c r="A591" s="1726"/>
      <c r="B591" s="1726"/>
      <c r="D591" s="1713"/>
    </row>
    <row r="592" spans="1:7">
      <c r="A592" s="1817" t="s">
        <v>1177</v>
      </c>
      <c r="B592" s="1817"/>
      <c r="C592" s="1817"/>
      <c r="D592" s="1817"/>
      <c r="E592" s="1817"/>
      <c r="F592" s="1817"/>
      <c r="G592" s="1817"/>
    </row>
    <row r="593" spans="1:7"/>
    <row r="594" spans="1:7">
      <c r="D594" s="1798" t="s">
        <v>1277</v>
      </c>
      <c r="E594" s="1798"/>
      <c r="F594" s="1798"/>
    </row>
    <row r="595" spans="1:7">
      <c r="D595" s="1875" t="s">
        <v>1278</v>
      </c>
      <c r="E595" s="1875"/>
      <c r="F595" s="1875"/>
    </row>
    <row r="596" spans="1:7">
      <c r="D596" s="1706"/>
    </row>
    <row r="597" spans="1:7" ht="14.25">
      <c r="A597" s="1726"/>
      <c r="B597" s="1703" t="s">
        <v>2595</v>
      </c>
      <c r="D597" s="1858" t="s">
        <v>1279</v>
      </c>
      <c r="E597" s="1858"/>
      <c r="F597" s="1858"/>
    </row>
    <row r="598" spans="1:7">
      <c r="D598" s="1858"/>
      <c r="E598" s="1858"/>
      <c r="F598" s="1858"/>
    </row>
    <row r="599" spans="1:7">
      <c r="D599" s="1858"/>
      <c r="E599" s="1858"/>
      <c r="F599" s="1858"/>
    </row>
    <row r="600" spans="1:7"/>
    <row r="601" spans="1:7">
      <c r="A601" s="1817" t="s">
        <v>1178</v>
      </c>
      <c r="B601" s="1817"/>
      <c r="C601" s="1817"/>
      <c r="D601" s="1817"/>
      <c r="E601" s="1817"/>
      <c r="F601" s="1817"/>
      <c r="G601" s="1817"/>
    </row>
    <row r="602" spans="1:7">
      <c r="A602" s="1727"/>
      <c r="B602" s="1727"/>
    </row>
    <row r="603" spans="1:7">
      <c r="A603" s="1734"/>
      <c r="B603" s="1734"/>
      <c r="C603" s="1734"/>
      <c r="D603" s="1876" t="s">
        <v>1280</v>
      </c>
      <c r="E603" s="1876"/>
      <c r="F603" s="1876"/>
    </row>
    <row r="604" spans="1:7">
      <c r="A604" s="1734"/>
      <c r="B604" s="1734"/>
      <c r="C604" s="1734"/>
      <c r="D604" s="1876"/>
      <c r="E604" s="1876"/>
      <c r="F604" s="1876"/>
    </row>
    <row r="605" spans="1:7">
      <c r="C605" s="783"/>
      <c r="D605" s="1875" t="s">
        <v>1281</v>
      </c>
      <c r="E605" s="1875"/>
      <c r="F605" s="1875"/>
    </row>
    <row r="606" spans="1:7">
      <c r="C606" s="783"/>
      <c r="D606" s="1706"/>
      <c r="E606" s="1706"/>
      <c r="F606" s="1706"/>
    </row>
    <row r="607" spans="1:7">
      <c r="A607" s="1732"/>
      <c r="B607" s="1703" t="s">
        <v>2596</v>
      </c>
      <c r="D607" s="1875" t="s">
        <v>455</v>
      </c>
      <c r="E607" s="1875"/>
      <c r="F607" s="1875"/>
    </row>
    <row r="608" spans="1:7">
      <c r="C608" s="1738"/>
    </row>
    <row r="609" spans="1:7">
      <c r="A609" s="1732"/>
      <c r="B609" s="1703" t="s">
        <v>2595</v>
      </c>
      <c r="D609" s="1877" t="s">
        <v>1282</v>
      </c>
      <c r="E609" s="1877"/>
      <c r="F609" s="1877"/>
    </row>
    <row r="610" spans="1:7">
      <c r="D610" s="1877"/>
      <c r="E610" s="1877"/>
      <c r="F610" s="1877"/>
    </row>
    <row r="611" spans="1:7"/>
    <row r="612" spans="1:7">
      <c r="B612" s="1703" t="s">
        <v>2595</v>
      </c>
      <c r="D612" s="1877" t="s">
        <v>1283</v>
      </c>
      <c r="E612" s="1877"/>
      <c r="F612" s="1877"/>
    </row>
    <row r="613" spans="1:7">
      <c r="C613" s="1738"/>
      <c r="D613" s="1877"/>
      <c r="E613" s="1877"/>
      <c r="F613" s="1877"/>
    </row>
    <row r="614" spans="1:7">
      <c r="C614" s="1738"/>
    </row>
    <row r="615" spans="1:7">
      <c r="B615" s="1703" t="s">
        <v>2596</v>
      </c>
      <c r="C615" s="1738"/>
      <c r="D615" s="1877" t="s">
        <v>1284</v>
      </c>
      <c r="E615" s="1877"/>
      <c r="F615" s="1877"/>
    </row>
    <row r="616" spans="1:7">
      <c r="C616" s="1738"/>
      <c r="D616" s="1877"/>
      <c r="E616" s="1877"/>
      <c r="F616" s="1877"/>
    </row>
    <row r="617" spans="1:7">
      <c r="C617" s="1738"/>
    </row>
    <row r="618" spans="1:7">
      <c r="A618" s="1817" t="s">
        <v>1179</v>
      </c>
      <c r="B618" s="1817"/>
      <c r="C618" s="1817"/>
      <c r="D618" s="1817"/>
      <c r="E618" s="1817"/>
      <c r="F618" s="1817"/>
      <c r="G618" s="1817"/>
    </row>
    <row r="619" spans="1:7">
      <c r="A619" s="1734"/>
      <c r="B619" s="1734"/>
      <c r="C619" s="1734"/>
    </row>
    <row r="620" spans="1:7">
      <c r="C620" s="1732"/>
      <c r="D620" s="1798" t="s">
        <v>1285</v>
      </c>
      <c r="E620" s="1798"/>
      <c r="F620" s="1798"/>
    </row>
    <row r="621" spans="1:7">
      <c r="A621" s="1732"/>
      <c r="B621" s="1732"/>
      <c r="D621" s="623"/>
    </row>
    <row r="622" spans="1:7" ht="14.25">
      <c r="A622" s="1726"/>
      <c r="B622" s="1703" t="s">
        <v>2595</v>
      </c>
      <c r="D622" s="1858" t="s">
        <v>1512</v>
      </c>
      <c r="E622" s="1858"/>
      <c r="F622" s="1858"/>
    </row>
    <row r="623" spans="1:7">
      <c r="D623" s="1858"/>
      <c r="E623" s="1858"/>
      <c r="F623" s="1858"/>
    </row>
    <row r="624" spans="1:7">
      <c r="D624" s="1858"/>
      <c r="E624" s="1858"/>
      <c r="F624" s="1858"/>
    </row>
    <row r="625" spans="1:7">
      <c r="D625" s="1858"/>
      <c r="E625" s="1858"/>
      <c r="F625" s="1858"/>
    </row>
    <row r="626" spans="1:7">
      <c r="D626" s="1858"/>
      <c r="E626" s="1858"/>
      <c r="F626" s="1858"/>
    </row>
    <row r="627" spans="1:7">
      <c r="D627" s="1858"/>
      <c r="E627" s="1858"/>
      <c r="F627" s="1858"/>
    </row>
    <row r="628" spans="1:7">
      <c r="D628" s="1701"/>
      <c r="E628" s="1701"/>
      <c r="F628" s="1701"/>
    </row>
    <row r="629" spans="1:7" ht="14.25">
      <c r="A629" s="1726"/>
      <c r="B629" s="1703" t="s">
        <v>2596</v>
      </c>
      <c r="D629" s="1858" t="s">
        <v>1287</v>
      </c>
      <c r="E629" s="1858"/>
      <c r="F629" s="1858"/>
    </row>
    <row r="630" spans="1:7">
      <c r="A630" s="1735"/>
      <c r="B630" s="1735"/>
      <c r="C630" s="1735"/>
      <c r="D630" s="1858"/>
      <c r="E630" s="1858"/>
      <c r="F630" s="1858"/>
    </row>
    <row r="631" spans="1:7">
      <c r="A631" s="1735"/>
      <c r="B631" s="1735"/>
      <c r="C631" s="1735"/>
      <c r="D631" s="1727"/>
      <c r="E631" s="1727"/>
      <c r="F631" s="1727"/>
    </row>
    <row r="632" spans="1:7" ht="14.25">
      <c r="A632" s="1726"/>
      <c r="B632" s="1703" t="s">
        <v>2596</v>
      </c>
      <c r="C632" s="1735"/>
      <c r="D632" s="1858" t="s">
        <v>1448</v>
      </c>
      <c r="E632" s="1858"/>
      <c r="F632" s="1858"/>
    </row>
    <row r="633" spans="1:7" ht="14.25">
      <c r="A633" s="1726"/>
      <c r="B633" s="1726"/>
      <c r="C633" s="1735"/>
      <c r="D633" s="1858"/>
      <c r="E633" s="1858"/>
      <c r="F633" s="1858"/>
    </row>
    <row r="634" spans="1:7" ht="14.25">
      <c r="A634" s="1726"/>
      <c r="B634" s="1726"/>
      <c r="C634" s="1735"/>
      <c r="D634" s="1858"/>
      <c r="E634" s="1858"/>
      <c r="F634" s="1858"/>
    </row>
    <row r="635" spans="1:7">
      <c r="A635" s="1735"/>
      <c r="B635" s="1703" t="s">
        <v>2596</v>
      </c>
      <c r="C635" s="1735"/>
      <c r="D635" s="1857" t="s">
        <v>1289</v>
      </c>
      <c r="E635" s="1857"/>
      <c r="F635" s="1857"/>
    </row>
    <row r="636" spans="1:7">
      <c r="A636" s="1735"/>
      <c r="B636" s="1735"/>
      <c r="C636" s="1735"/>
      <c r="D636" s="1727"/>
      <c r="E636" s="1727"/>
      <c r="F636" s="1727"/>
    </row>
    <row r="637" spans="1:7">
      <c r="A637" s="1817" t="s">
        <v>1180</v>
      </c>
      <c r="B637" s="1817"/>
      <c r="C637" s="1817"/>
      <c r="D637" s="1817"/>
      <c r="E637" s="1817"/>
      <c r="F637" s="1817"/>
      <c r="G637" s="1817"/>
    </row>
    <row r="638" spans="1:7">
      <c r="A638" s="1727"/>
      <c r="B638" s="1727"/>
      <c r="C638" s="1735"/>
      <c r="D638" s="1727"/>
      <c r="E638" s="1727"/>
      <c r="F638" s="1727"/>
    </row>
    <row r="639" spans="1:7">
      <c r="C639" s="1734"/>
      <c r="D639" s="1798" t="s">
        <v>1339</v>
      </c>
      <c r="E639" s="1798"/>
      <c r="F639" s="1798"/>
    </row>
    <row r="640" spans="1:7">
      <c r="A640" s="783"/>
      <c r="B640" s="783"/>
      <c r="C640" s="783"/>
      <c r="D640" s="1857" t="s">
        <v>1340</v>
      </c>
      <c r="E640" s="1857"/>
      <c r="F640" s="1857"/>
    </row>
    <row r="641" spans="1:6">
      <c r="A641" s="783"/>
      <c r="B641" s="783"/>
      <c r="C641" s="783"/>
      <c r="D641" s="1727"/>
      <c r="E641" s="1727"/>
      <c r="F641" s="1727"/>
    </row>
    <row r="642" spans="1:6" ht="12.75" customHeight="1">
      <c r="B642" s="1703" t="s">
        <v>2595</v>
      </c>
      <c r="C642" s="1735"/>
      <c r="D642" s="1858" t="s">
        <v>1534</v>
      </c>
      <c r="E642" s="1858"/>
      <c r="F642" s="1858"/>
    </row>
    <row r="643" spans="1:6">
      <c r="D643" s="1858"/>
      <c r="E643" s="1858"/>
      <c r="F643" s="1858"/>
    </row>
    <row r="644" spans="1:6">
      <c r="D644" s="1858"/>
      <c r="E644" s="1858"/>
      <c r="F644" s="1858"/>
    </row>
    <row r="645" spans="1:6">
      <c r="D645" s="1858"/>
      <c r="E645" s="1858"/>
      <c r="F645" s="1858"/>
    </row>
    <row r="646" spans="1:6" ht="14.65" customHeight="1">
      <c r="A646" s="1726"/>
      <c r="B646" s="1726"/>
      <c r="C646" s="1735"/>
      <c r="D646" s="1737"/>
      <c r="E646" s="1737"/>
      <c r="F646" s="1737"/>
    </row>
    <row r="647" spans="1:6" ht="12.75" customHeight="1">
      <c r="A647" s="783"/>
      <c r="B647" s="1703" t="s">
        <v>2595</v>
      </c>
      <c r="C647" s="1735"/>
      <c r="D647" s="1858" t="s">
        <v>1537</v>
      </c>
      <c r="E647" s="1858"/>
      <c r="F647" s="1858"/>
    </row>
    <row r="648" spans="1:6" ht="14.25">
      <c r="A648" s="783"/>
      <c r="B648" s="1726"/>
      <c r="C648" s="1735"/>
      <c r="D648" s="1858"/>
      <c r="E648" s="1858"/>
      <c r="F648" s="1858"/>
    </row>
    <row r="649" spans="1:6" ht="14.25">
      <c r="A649" s="783"/>
      <c r="B649" s="1726"/>
      <c r="C649" s="1735"/>
      <c r="D649" s="1858"/>
      <c r="E649" s="1858"/>
      <c r="F649" s="1858"/>
    </row>
    <row r="650" spans="1:6" ht="14.25">
      <c r="A650" s="783"/>
      <c r="B650" s="1726"/>
      <c r="C650" s="1735"/>
      <c r="D650" s="1858"/>
      <c r="E650" s="1858"/>
      <c r="F650" s="1858"/>
    </row>
    <row r="651" spans="1:6" ht="14.25">
      <c r="A651" s="783"/>
      <c r="B651" s="1726"/>
      <c r="C651" s="1735"/>
      <c r="D651" s="1858"/>
      <c r="E651" s="1858"/>
      <c r="F651" s="1858"/>
    </row>
    <row r="652" spans="1:6" ht="14.25" customHeight="1">
      <c r="A652" s="783"/>
      <c r="B652" s="1726"/>
      <c r="C652" s="1735"/>
      <c r="F652" s="1736"/>
    </row>
    <row r="653" spans="1:6" ht="12.75" customHeight="1">
      <c r="A653" s="783"/>
      <c r="B653" s="1703" t="s">
        <v>2595</v>
      </c>
      <c r="C653" s="1735"/>
      <c r="D653" s="1858" t="s">
        <v>1535</v>
      </c>
      <c r="E653" s="1858"/>
      <c r="F653" s="1858"/>
    </row>
    <row r="654" spans="1:6" ht="14.25">
      <c r="A654" s="783"/>
      <c r="B654" s="1726"/>
      <c r="C654" s="1735"/>
      <c r="D654" s="1858"/>
      <c r="E654" s="1858"/>
      <c r="F654" s="1858"/>
    </row>
    <row r="655" spans="1:6" ht="14.25">
      <c r="A655" s="1726"/>
      <c r="B655" s="1726"/>
      <c r="C655" s="1735"/>
      <c r="D655" s="1858"/>
      <c r="E655" s="1858"/>
      <c r="F655" s="1858"/>
    </row>
    <row r="656" spans="1:6" ht="14.25">
      <c r="A656" s="1726"/>
      <c r="B656" s="1726"/>
      <c r="C656" s="1735"/>
      <c r="D656" s="1858"/>
      <c r="E656" s="1858"/>
      <c r="F656" s="1858"/>
    </row>
    <row r="657" spans="1:11" ht="14.25">
      <c r="A657" s="1726"/>
      <c r="B657" s="1726"/>
      <c r="C657" s="1735"/>
      <c r="D657" s="1701"/>
      <c r="E657" s="1701"/>
      <c r="F657" s="1701"/>
    </row>
    <row r="658" spans="1:11" ht="12.75" customHeight="1">
      <c r="A658" s="783"/>
      <c r="B658" s="1703" t="s">
        <v>2596</v>
      </c>
      <c r="C658" s="1735"/>
      <c r="D658" s="1858" t="s">
        <v>1536</v>
      </c>
      <c r="E658" s="1858"/>
      <c r="F658" s="1858"/>
    </row>
    <row r="659" spans="1:11" ht="12.75" customHeight="1">
      <c r="A659" s="783"/>
      <c r="B659" s="1726"/>
      <c r="C659" s="1735"/>
      <c r="D659" s="1858"/>
      <c r="E659" s="1858"/>
      <c r="F659" s="1858"/>
    </row>
    <row r="660" spans="1:11" ht="12.75" customHeight="1">
      <c r="A660" s="783"/>
      <c r="B660" s="1726"/>
      <c r="C660" s="1735"/>
      <c r="D660" s="1858"/>
      <c r="E660" s="1858"/>
      <c r="F660" s="1858"/>
    </row>
    <row r="661" spans="1:11" ht="12.75" customHeight="1">
      <c r="A661" s="783"/>
      <c r="B661" s="1726"/>
      <c r="C661" s="1735"/>
      <c r="D661" s="1858"/>
      <c r="E661" s="1858"/>
      <c r="F661" s="1858"/>
    </row>
    <row r="662" spans="1:11" ht="12.75" customHeight="1">
      <c r="A662" s="783"/>
      <c r="B662" s="1726"/>
      <c r="C662" s="1735"/>
      <c r="D662" s="1858"/>
      <c r="E662" s="1858"/>
      <c r="F662" s="1858"/>
    </row>
    <row r="663" spans="1:11" ht="12.75" customHeight="1">
      <c r="A663" s="783"/>
      <c r="B663" s="1726"/>
      <c r="C663" s="1735"/>
      <c r="D663" s="1858"/>
      <c r="E663" s="1858"/>
      <c r="F663" s="1858"/>
    </row>
    <row r="664" spans="1:11" ht="12.75" customHeight="1">
      <c r="A664" s="783"/>
      <c r="B664" s="1726"/>
      <c r="C664" s="1735"/>
      <c r="D664" s="1858"/>
      <c r="E664" s="1858"/>
      <c r="F664" s="1858"/>
    </row>
    <row r="665" spans="1:11" ht="12.75" customHeight="1">
      <c r="A665" s="783"/>
      <c r="B665" s="1726"/>
      <c r="C665" s="1735"/>
      <c r="D665" s="1858"/>
      <c r="E665" s="1858"/>
      <c r="F665" s="1858"/>
    </row>
    <row r="666" spans="1:11" ht="12.75" customHeight="1">
      <c r="A666" s="783"/>
      <c r="B666" s="1726"/>
      <c r="C666" s="1735"/>
      <c r="D666" s="1858"/>
      <c r="E666" s="1858"/>
      <c r="F666" s="1858"/>
    </row>
    <row r="667" spans="1:11">
      <c r="A667" s="1735"/>
      <c r="B667" s="1735"/>
      <c r="C667" s="1735"/>
      <c r="D667" s="1727"/>
      <c r="E667" s="1727"/>
      <c r="F667" s="1727"/>
    </row>
    <row r="668" spans="1:11">
      <c r="A668" s="1817" t="s">
        <v>1181</v>
      </c>
      <c r="B668" s="1817"/>
      <c r="C668" s="1817"/>
      <c r="D668" s="1817"/>
      <c r="E668" s="1817"/>
      <c r="F668" s="1817"/>
      <c r="G668" s="1817"/>
      <c r="H668" s="1725"/>
      <c r="I668" s="1725"/>
      <c r="J668" s="1725"/>
      <c r="K668" s="1725"/>
    </row>
    <row r="669" spans="1:11">
      <c r="A669" s="1700"/>
      <c r="B669" s="1700"/>
      <c r="C669" s="1700"/>
      <c r="D669" s="1700"/>
      <c r="E669" s="1700"/>
      <c r="F669" s="1700"/>
      <c r="G669" s="1700"/>
      <c r="H669" s="1725"/>
      <c r="I669" s="1725"/>
      <c r="J669" s="1725"/>
      <c r="K669" s="1725"/>
    </row>
    <row r="670" spans="1:11">
      <c r="C670" s="1734"/>
      <c r="D670" s="1798" t="s">
        <v>104</v>
      </c>
      <c r="E670" s="1798"/>
      <c r="F670" s="1798"/>
      <c r="H670" s="1725"/>
      <c r="I670" s="1725"/>
      <c r="J670" s="1725"/>
      <c r="K670" s="1725"/>
    </row>
    <row r="671" spans="1:11">
      <c r="A671" s="1734"/>
      <c r="B671" s="1734"/>
      <c r="C671" s="1734"/>
      <c r="D671" s="1798" t="s">
        <v>128</v>
      </c>
      <c r="E671" s="1798"/>
      <c r="F671" s="1798"/>
      <c r="H671" s="1725"/>
      <c r="I671" s="1725"/>
      <c r="J671" s="1725"/>
      <c r="K671" s="1725"/>
    </row>
    <row r="672" spans="1:11">
      <c r="A672" s="783"/>
      <c r="B672" s="783"/>
      <c r="C672" s="783"/>
      <c r="D672" s="1857" t="s">
        <v>1217</v>
      </c>
      <c r="E672" s="1857"/>
      <c r="F672" s="1857"/>
      <c r="H672" s="1725"/>
      <c r="I672" s="1725"/>
      <c r="J672" s="1725"/>
      <c r="K672" s="1725"/>
    </row>
    <row r="673" spans="1:11">
      <c r="A673" s="783"/>
      <c r="B673" s="783"/>
      <c r="C673" s="783"/>
      <c r="H673" s="1725"/>
      <c r="I673" s="1725"/>
      <c r="J673" s="1725"/>
      <c r="K673" s="1725"/>
    </row>
    <row r="674" spans="1:11" ht="14.25">
      <c r="A674" s="1726"/>
      <c r="B674" s="1703" t="s">
        <v>2595</v>
      </c>
      <c r="C674" s="783"/>
      <c r="D674" s="1857" t="s">
        <v>955</v>
      </c>
      <c r="E674" s="1857"/>
      <c r="F674" s="1857"/>
      <c r="H674" s="1725"/>
      <c r="I674" s="1725"/>
      <c r="J674" s="1725"/>
      <c r="K674" s="1725"/>
    </row>
    <row r="675" spans="1:11">
      <c r="A675" s="783"/>
      <c r="B675" s="783"/>
      <c r="C675" s="783"/>
      <c r="D675" s="1857" t="s">
        <v>966</v>
      </c>
      <c r="E675" s="1857"/>
      <c r="F675" s="1857"/>
      <c r="H675" s="1725"/>
      <c r="I675" s="1725"/>
      <c r="J675" s="1725"/>
      <c r="K675" s="1725"/>
    </row>
    <row r="676" spans="1:11">
      <c r="A676" s="783"/>
      <c r="B676" s="783"/>
      <c r="C676" s="783"/>
      <c r="E676" s="1878" t="s">
        <v>1218</v>
      </c>
      <c r="F676" s="1878"/>
      <c r="H676" s="1725"/>
      <c r="I676" s="1725"/>
      <c r="J676" s="1725"/>
      <c r="K676" s="1725"/>
    </row>
    <row r="677" spans="1:11">
      <c r="A677" s="783"/>
      <c r="B677" s="783"/>
      <c r="C677" s="783"/>
      <c r="E677" s="1878"/>
      <c r="F677" s="1878"/>
      <c r="H677" s="1725"/>
      <c r="I677" s="1725"/>
      <c r="J677" s="1725"/>
      <c r="K677" s="1725"/>
    </row>
    <row r="678" spans="1:11">
      <c r="A678" s="783"/>
      <c r="B678" s="783"/>
      <c r="C678" s="783"/>
      <c r="D678" s="1733"/>
      <c r="E678" s="1727"/>
      <c r="H678" s="1725"/>
      <c r="I678" s="1725"/>
      <c r="J678" s="1725"/>
      <c r="K678" s="1725"/>
    </row>
    <row r="679" spans="1:11" ht="14.25">
      <c r="A679" s="1726"/>
      <c r="B679" s="1703" t="s">
        <v>2596</v>
      </c>
      <c r="C679" s="783"/>
      <c r="D679" s="1858" t="s">
        <v>1414</v>
      </c>
      <c r="E679" s="1858"/>
      <c r="F679" s="1858"/>
      <c r="H679" s="1725"/>
      <c r="I679" s="1725"/>
      <c r="J679" s="1725"/>
      <c r="K679" s="1725"/>
    </row>
    <row r="680" spans="1:11">
      <c r="A680" s="1732"/>
      <c r="B680" s="1732"/>
      <c r="C680" s="783"/>
      <c r="D680" s="1858"/>
      <c r="E680" s="1858"/>
      <c r="F680" s="1858"/>
      <c r="H680" s="1725"/>
      <c r="I680" s="1725"/>
      <c r="J680" s="1725"/>
      <c r="K680" s="1725"/>
    </row>
    <row r="681" spans="1:11">
      <c r="A681" s="783"/>
      <c r="B681" s="783"/>
      <c r="C681" s="783"/>
      <c r="D681" s="1858"/>
      <c r="E681" s="1858"/>
      <c r="F681" s="1858"/>
      <c r="H681" s="1725"/>
      <c r="I681" s="1725"/>
      <c r="J681" s="1725"/>
      <c r="K681" s="1725"/>
    </row>
    <row r="682" spans="1:11">
      <c r="A682" s="783"/>
      <c r="B682" s="783"/>
      <c r="C682" s="783"/>
      <c r="H682" s="1725"/>
      <c r="I682" s="1725"/>
      <c r="J682" s="1725"/>
      <c r="K682" s="1725"/>
    </row>
    <row r="683" spans="1:11" ht="14.25">
      <c r="A683" s="1726"/>
      <c r="B683" s="1703" t="s">
        <v>2595</v>
      </c>
      <c r="C683" s="783"/>
      <c r="D683" s="1857" t="s">
        <v>995</v>
      </c>
      <c r="E683" s="1857"/>
      <c r="F683" s="1857"/>
      <c r="H683" s="1725"/>
      <c r="I683" s="1725"/>
      <c r="J683" s="1725"/>
      <c r="K683" s="1725"/>
    </row>
    <row r="684" spans="1:11" ht="14.25">
      <c r="A684" s="1726"/>
      <c r="B684" s="1726"/>
      <c r="C684" s="783"/>
      <c r="D684" s="1857" t="s">
        <v>966</v>
      </c>
      <c r="E684" s="1857"/>
      <c r="F684" s="1857"/>
      <c r="H684" s="1725"/>
      <c r="I684" s="1725"/>
      <c r="J684" s="1725"/>
      <c r="K684" s="1725"/>
    </row>
    <row r="685" spans="1:11">
      <c r="A685" s="783"/>
      <c r="B685" s="783"/>
      <c r="C685" s="783"/>
      <c r="E685" s="1867" t="s">
        <v>1220</v>
      </c>
      <c r="F685" s="1867"/>
      <c r="H685" s="1725"/>
      <c r="I685" s="1725"/>
      <c r="J685" s="1725"/>
      <c r="K685" s="1725"/>
    </row>
    <row r="686" spans="1:11">
      <c r="A686" s="783"/>
      <c r="B686" s="783"/>
      <c r="C686" s="783"/>
      <c r="D686" s="623"/>
      <c r="H686" s="1725"/>
      <c r="I686" s="1725"/>
      <c r="J686" s="1725"/>
      <c r="K686" s="1725"/>
    </row>
    <row r="687" spans="1:11" ht="14.25">
      <c r="A687" s="1726"/>
      <c r="B687" s="1703" t="s">
        <v>2595</v>
      </c>
      <c r="C687" s="783"/>
      <c r="D687" s="1858" t="s">
        <v>1230</v>
      </c>
      <c r="E687" s="1858"/>
      <c r="F687" s="1858"/>
      <c r="H687" s="1725"/>
      <c r="I687" s="1725"/>
      <c r="J687" s="1725"/>
      <c r="K687" s="1725"/>
    </row>
    <row r="688" spans="1:11">
      <c r="A688" s="783"/>
      <c r="B688" s="783"/>
      <c r="C688" s="783"/>
      <c r="D688" s="1858"/>
      <c r="E688" s="1858"/>
      <c r="F688" s="1858"/>
      <c r="H688" s="1725"/>
      <c r="I688" s="1725"/>
      <c r="J688" s="1725"/>
      <c r="K688" s="1725"/>
    </row>
    <row r="689" spans="1:11">
      <c r="A689" s="783"/>
      <c r="B689" s="783"/>
      <c r="C689" s="783"/>
      <c r="D689" s="1858"/>
      <c r="E689" s="1858"/>
      <c r="F689" s="1858"/>
      <c r="H689" s="1725"/>
      <c r="I689" s="1725"/>
      <c r="J689" s="1725"/>
      <c r="K689" s="1725"/>
    </row>
    <row r="690" spans="1:11">
      <c r="A690" s="783"/>
      <c r="B690" s="783"/>
      <c r="C690" s="783"/>
      <c r="D690" s="1858"/>
      <c r="E690" s="1858"/>
      <c r="F690" s="1858"/>
      <c r="H690" s="1725"/>
      <c r="I690" s="1725"/>
      <c r="J690" s="1725"/>
      <c r="K690" s="1725"/>
    </row>
    <row r="691" spans="1:11">
      <c r="A691" s="783"/>
      <c r="B691" s="783"/>
      <c r="C691" s="783"/>
      <c r="D691" s="1858"/>
      <c r="E691" s="1858"/>
      <c r="F691" s="1858"/>
      <c r="H691" s="1725"/>
      <c r="I691" s="1725"/>
      <c r="J691" s="1725"/>
      <c r="K691" s="1725"/>
    </row>
    <row r="692" spans="1:11">
      <c r="A692" s="783"/>
      <c r="B692" s="783"/>
      <c r="C692" s="783"/>
      <c r="D692" s="1858"/>
      <c r="E692" s="1858"/>
      <c r="F692" s="1858"/>
      <c r="H692" s="1725"/>
      <c r="I692" s="1725"/>
      <c r="J692" s="1725"/>
      <c r="K692" s="1725"/>
    </row>
    <row r="693" spans="1:11">
      <c r="A693" s="783"/>
      <c r="B693" s="783"/>
      <c r="C693" s="783"/>
      <c r="D693" s="1701"/>
      <c r="E693" s="1701"/>
      <c r="F693" s="1701"/>
      <c r="H693" s="1725"/>
      <c r="I693" s="1725"/>
      <c r="J693" s="1725"/>
      <c r="K693" s="1725"/>
    </row>
    <row r="694" spans="1:11">
      <c r="A694" s="783"/>
      <c r="B694" s="1703" t="s">
        <v>2595</v>
      </c>
      <c r="C694" s="783"/>
      <c r="D694" s="1858" t="s">
        <v>1416</v>
      </c>
      <c r="E694" s="1858"/>
      <c r="F694" s="1858"/>
      <c r="H694" s="1725"/>
      <c r="I694" s="1725"/>
      <c r="J694" s="1725"/>
      <c r="K694" s="1725"/>
    </row>
    <row r="695" spans="1:11">
      <c r="A695" s="783"/>
      <c r="B695" s="783"/>
      <c r="C695" s="783"/>
      <c r="D695" s="1858"/>
      <c r="E695" s="1858"/>
      <c r="F695" s="1858"/>
      <c r="H695" s="1725"/>
      <c r="I695" s="1725"/>
      <c r="J695" s="1725"/>
      <c r="K695" s="1725"/>
    </row>
    <row r="696" spans="1:11">
      <c r="A696" s="783"/>
      <c r="B696" s="783"/>
      <c r="C696" s="783"/>
      <c r="D696" s="1701"/>
      <c r="E696" s="1701"/>
      <c r="F696" s="1701"/>
      <c r="H696" s="1725"/>
      <c r="I696" s="1725"/>
      <c r="J696" s="1725"/>
      <c r="K696" s="1725"/>
    </row>
    <row r="697" spans="1:11" ht="14.25">
      <c r="A697" s="1726"/>
      <c r="B697" s="1703" t="s">
        <v>2596</v>
      </c>
      <c r="C697" s="783"/>
      <c r="D697" s="1858" t="s">
        <v>1221</v>
      </c>
      <c r="E697" s="1858"/>
      <c r="F697" s="1858"/>
      <c r="H697" s="1725"/>
      <c r="I697" s="1725"/>
      <c r="J697" s="1725"/>
      <c r="K697" s="1725"/>
    </row>
    <row r="698" spans="1:11">
      <c r="A698" s="783"/>
      <c r="B698" s="783"/>
      <c r="C698" s="783"/>
      <c r="D698" s="1858"/>
      <c r="E698" s="1858"/>
      <c r="F698" s="1858"/>
      <c r="H698" s="1725"/>
      <c r="I698" s="1725"/>
      <c r="J698" s="1725"/>
      <c r="K698" s="1725"/>
    </row>
    <row r="699" spans="1:11">
      <c r="A699" s="783"/>
      <c r="B699" s="783"/>
      <c r="C699" s="783"/>
      <c r="D699" s="1858"/>
      <c r="E699" s="1858"/>
      <c r="F699" s="1858"/>
      <c r="H699" s="1725"/>
      <c r="I699" s="1725"/>
      <c r="J699" s="1725"/>
      <c r="K699" s="1725"/>
    </row>
    <row r="700" spans="1:11" ht="15" customHeight="1">
      <c r="A700" s="783"/>
      <c r="B700" s="783"/>
      <c r="C700" s="783"/>
      <c r="D700" s="1858"/>
      <c r="E700" s="1858"/>
      <c r="F700" s="1858"/>
      <c r="H700" s="1725"/>
      <c r="I700" s="1725"/>
      <c r="J700" s="1725"/>
      <c r="K700" s="1725"/>
    </row>
    <row r="701" spans="1:11" ht="15" customHeight="1">
      <c r="A701" s="783"/>
      <c r="B701" s="783"/>
      <c r="C701" s="783"/>
      <c r="D701" s="1858"/>
      <c r="E701" s="1858"/>
      <c r="F701" s="1858"/>
      <c r="H701" s="1725"/>
      <c r="I701" s="1725"/>
      <c r="J701" s="1725"/>
      <c r="K701" s="1725"/>
    </row>
    <row r="702" spans="1:11">
      <c r="A702" s="783"/>
      <c r="B702" s="783"/>
      <c r="C702" s="783"/>
      <c r="D702" s="1858"/>
      <c r="E702" s="1858"/>
      <c r="F702" s="1858"/>
      <c r="H702" s="1725"/>
      <c r="I702" s="1725"/>
      <c r="J702" s="1725"/>
      <c r="K702" s="1725"/>
    </row>
    <row r="703" spans="1:11">
      <c r="A703" s="783"/>
      <c r="B703" s="783"/>
      <c r="C703" s="783"/>
      <c r="D703" s="1858"/>
      <c r="E703" s="1858"/>
      <c r="F703" s="1858"/>
      <c r="H703" s="1725"/>
      <c r="I703" s="1725"/>
      <c r="J703" s="1725"/>
      <c r="K703" s="1725"/>
    </row>
    <row r="704" spans="1:11">
      <c r="A704" s="783"/>
      <c r="B704" s="783"/>
      <c r="C704" s="783"/>
      <c r="D704" s="1858"/>
      <c r="E704" s="1858"/>
      <c r="F704" s="1858"/>
      <c r="H704" s="1725"/>
      <c r="I704" s="1725"/>
      <c r="J704" s="1725"/>
      <c r="K704" s="1725"/>
    </row>
    <row r="705" spans="1:11" ht="15" customHeight="1">
      <c r="A705" s="783"/>
      <c r="B705" s="783"/>
      <c r="C705" s="783"/>
      <c r="D705" s="1858"/>
      <c r="E705" s="1858"/>
      <c r="F705" s="1858"/>
      <c r="H705" s="1725"/>
      <c r="I705" s="1725"/>
      <c r="J705" s="1725"/>
      <c r="K705" s="1725"/>
    </row>
    <row r="706" spans="1:11">
      <c r="A706" s="783"/>
      <c r="B706" s="783"/>
      <c r="C706" s="783"/>
      <c r="D706" s="1858"/>
      <c r="E706" s="1858"/>
      <c r="F706" s="1858"/>
      <c r="H706" s="1725"/>
      <c r="I706" s="1725"/>
      <c r="J706" s="1725"/>
      <c r="K706" s="1725"/>
    </row>
    <row r="707" spans="1:11">
      <c r="A707" s="783"/>
      <c r="B707" s="783"/>
      <c r="C707" s="783"/>
      <c r="D707" s="1858"/>
      <c r="E707" s="1858"/>
      <c r="F707" s="1858"/>
      <c r="H707" s="1725"/>
      <c r="I707" s="1725"/>
      <c r="J707" s="1725"/>
      <c r="K707" s="1725"/>
    </row>
    <row r="708" spans="1:11">
      <c r="A708" s="783"/>
      <c r="B708" s="783"/>
      <c r="C708" s="783"/>
      <c r="D708" s="1858"/>
      <c r="E708" s="1858"/>
      <c r="F708" s="1858"/>
      <c r="H708" s="1725"/>
      <c r="I708" s="1725"/>
      <c r="J708" s="1725"/>
      <c r="K708" s="1725"/>
    </row>
    <row r="709" spans="1:11">
      <c r="A709" s="783"/>
      <c r="B709" s="783"/>
      <c r="C709" s="783"/>
      <c r="D709" s="1858"/>
      <c r="E709" s="1858"/>
      <c r="F709" s="1858"/>
      <c r="H709" s="1725"/>
      <c r="I709" s="1725"/>
      <c r="J709" s="1725"/>
      <c r="K709" s="1725"/>
    </row>
    <row r="710" spans="1:11">
      <c r="A710" s="783"/>
      <c r="B710" s="1703" t="s">
        <v>2596</v>
      </c>
      <c r="C710" s="783"/>
      <c r="D710" s="1858" t="s">
        <v>1228</v>
      </c>
      <c r="E710" s="1858"/>
      <c r="F710" s="1858"/>
      <c r="H710" s="1725"/>
      <c r="I710" s="1725"/>
      <c r="J710" s="1725"/>
      <c r="K710" s="1725"/>
    </row>
    <row r="711" spans="1:11">
      <c r="A711" s="783"/>
      <c r="B711" s="783"/>
      <c r="C711" s="783"/>
      <c r="D711" s="1858"/>
      <c r="E711" s="1858"/>
      <c r="F711" s="1858"/>
      <c r="H711" s="1725"/>
      <c r="I711" s="1725"/>
      <c r="J711" s="1725"/>
      <c r="K711" s="1725"/>
    </row>
    <row r="712" spans="1:11">
      <c r="A712" s="783"/>
      <c r="B712" s="783"/>
      <c r="C712" s="783"/>
      <c r="D712" s="1701"/>
      <c r="E712" s="1701"/>
      <c r="F712" s="1701"/>
      <c r="H712" s="1725"/>
      <c r="I712" s="1725"/>
      <c r="J712" s="1725"/>
      <c r="K712" s="1725"/>
    </row>
    <row r="713" spans="1:11">
      <c r="A713" s="783"/>
      <c r="B713" s="1703" t="s">
        <v>2596</v>
      </c>
      <c r="C713" s="783"/>
      <c r="D713" s="1858" t="s">
        <v>1229</v>
      </c>
      <c r="E713" s="1858"/>
      <c r="F713" s="1858"/>
      <c r="H713" s="1725"/>
      <c r="I713" s="1725"/>
      <c r="J713" s="1725"/>
      <c r="K713" s="1725"/>
    </row>
    <row r="714" spans="1:11">
      <c r="A714" s="783"/>
      <c r="B714" s="783"/>
      <c r="C714" s="783"/>
      <c r="D714" s="1858"/>
      <c r="E714" s="1858"/>
      <c r="F714" s="1858"/>
      <c r="H714" s="1725"/>
      <c r="I714" s="1725"/>
      <c r="J714" s="1725"/>
      <c r="K714" s="1725"/>
    </row>
    <row r="715" spans="1:11">
      <c r="A715" s="783"/>
      <c r="B715" s="783"/>
      <c r="C715" s="783"/>
      <c r="D715" s="1858"/>
      <c r="E715" s="1858"/>
      <c r="F715" s="1858"/>
      <c r="H715" s="1725"/>
      <c r="I715" s="1725"/>
      <c r="J715" s="1725"/>
      <c r="K715" s="1725"/>
    </row>
    <row r="716" spans="1:11">
      <c r="A716" s="783"/>
      <c r="B716" s="783"/>
      <c r="C716" s="783"/>
      <c r="D716" s="1701"/>
      <c r="E716" s="1701"/>
      <c r="F716" s="1701"/>
      <c r="H716" s="1725"/>
      <c r="I716" s="1725"/>
      <c r="J716" s="1725"/>
      <c r="K716" s="1725"/>
    </row>
    <row r="717" spans="1:11">
      <c r="A717" s="783"/>
      <c r="B717" s="1703" t="s">
        <v>2596</v>
      </c>
      <c r="C717" s="783"/>
      <c r="D717" s="1858" t="s">
        <v>1222</v>
      </c>
      <c r="E717" s="1858"/>
      <c r="F717" s="1858"/>
      <c r="H717" s="1725"/>
      <c r="I717" s="1725"/>
      <c r="J717" s="1725"/>
      <c r="K717" s="1725"/>
    </row>
    <row r="718" spans="1:11">
      <c r="A718" s="783"/>
      <c r="B718" s="783"/>
      <c r="C718" s="783"/>
      <c r="D718" s="1858"/>
      <c r="E718" s="1858"/>
      <c r="F718" s="1858"/>
      <c r="H718" s="1725"/>
      <c r="I718" s="1725"/>
      <c r="J718" s="1725"/>
      <c r="K718" s="1725"/>
    </row>
    <row r="719" spans="1:11">
      <c r="A719" s="783"/>
      <c r="B719" s="783"/>
      <c r="C719" s="783"/>
      <c r="D719" s="1858"/>
      <c r="E719" s="1858"/>
      <c r="F719" s="1858"/>
      <c r="H719" s="1725"/>
      <c r="I719" s="1725"/>
      <c r="J719" s="1725"/>
      <c r="K719" s="1725"/>
    </row>
    <row r="720" spans="1:11">
      <c r="A720" s="783"/>
      <c r="B720" s="783"/>
      <c r="C720" s="783"/>
      <c r="H720" s="1725"/>
      <c r="I720" s="1725"/>
      <c r="J720" s="1725"/>
      <c r="K720" s="1725"/>
    </row>
    <row r="721" spans="1:11">
      <c r="A721" s="783"/>
      <c r="B721" s="1703" t="s">
        <v>2596</v>
      </c>
      <c r="C721" s="783"/>
      <c r="D721" s="1858" t="s">
        <v>1223</v>
      </c>
      <c r="E721" s="1858"/>
      <c r="F721" s="1858"/>
      <c r="H721" s="1725"/>
      <c r="I721" s="1725"/>
      <c r="J721" s="1725"/>
      <c r="K721" s="1725"/>
    </row>
    <row r="722" spans="1:11">
      <c r="A722" s="783"/>
      <c r="B722" s="783"/>
      <c r="C722" s="783"/>
      <c r="D722" s="1858"/>
      <c r="E722" s="1858"/>
      <c r="F722" s="1858"/>
      <c r="H722" s="1725"/>
      <c r="I722" s="1725"/>
      <c r="J722" s="1725"/>
      <c r="K722" s="1725"/>
    </row>
    <row r="723" spans="1:11">
      <c r="A723" s="783"/>
      <c r="B723" s="783"/>
      <c r="C723" s="783"/>
      <c r="D723" s="1858"/>
      <c r="E723" s="1858"/>
      <c r="F723" s="1858"/>
      <c r="H723" s="1725"/>
      <c r="I723" s="1725"/>
      <c r="J723" s="1725"/>
      <c r="K723" s="1725"/>
    </row>
    <row r="724" spans="1:11">
      <c r="A724" s="783"/>
      <c r="B724" s="783"/>
      <c r="C724" s="783"/>
      <c r="H724" s="1725"/>
      <c r="I724" s="1725"/>
      <c r="J724" s="1725"/>
      <c r="K724" s="1725"/>
    </row>
    <row r="725" spans="1:11" ht="14.25">
      <c r="A725" s="1726"/>
      <c r="B725" s="1703" t="s">
        <v>2596</v>
      </c>
      <c r="C725" s="783"/>
      <c r="D725" s="1858" t="s">
        <v>1224</v>
      </c>
      <c r="E725" s="1858"/>
      <c r="F725" s="1858"/>
      <c r="H725" s="1725"/>
      <c r="I725" s="1725"/>
      <c r="J725" s="1725"/>
      <c r="K725" s="1725"/>
    </row>
    <row r="726" spans="1:11">
      <c r="A726" s="783"/>
      <c r="B726" s="783"/>
      <c r="C726" s="783"/>
      <c r="D726" s="1858"/>
      <c r="E726" s="1858"/>
      <c r="F726" s="1858"/>
      <c r="H726" s="1725"/>
      <c r="I726" s="1725"/>
      <c r="J726" s="1725"/>
      <c r="K726" s="1725"/>
    </row>
    <row r="727" spans="1:11">
      <c r="A727" s="783"/>
      <c r="B727" s="783"/>
      <c r="C727" s="783"/>
      <c r="D727" s="1858"/>
      <c r="E727" s="1858"/>
      <c r="F727" s="1858"/>
      <c r="H727" s="1725"/>
      <c r="I727" s="1725"/>
      <c r="J727" s="1725"/>
      <c r="K727" s="1725"/>
    </row>
    <row r="728" spans="1:11">
      <c r="A728" s="783"/>
      <c r="B728" s="783"/>
      <c r="C728" s="783"/>
      <c r="D728" s="1858"/>
      <c r="E728" s="1858"/>
      <c r="F728" s="1858"/>
      <c r="H728" s="1725"/>
      <c r="I728" s="1725"/>
      <c r="J728" s="1725"/>
      <c r="K728" s="1725"/>
    </row>
    <row r="729" spans="1:11">
      <c r="A729" s="783"/>
      <c r="B729" s="783"/>
      <c r="C729" s="783"/>
      <c r="D729" s="1731"/>
      <c r="H729" s="1725"/>
      <c r="I729" s="1725"/>
      <c r="J729" s="1725"/>
      <c r="K729" s="1725"/>
    </row>
    <row r="730" spans="1:11" ht="14.25">
      <c r="A730" s="1726"/>
      <c r="B730" s="1703" t="s">
        <v>2596</v>
      </c>
      <c r="C730" s="783"/>
      <c r="D730" s="1858" t="s">
        <v>1357</v>
      </c>
      <c r="E730" s="1858"/>
      <c r="F730" s="1858"/>
      <c r="H730" s="1725"/>
      <c r="I730" s="1725"/>
      <c r="J730" s="1725"/>
      <c r="K730" s="1725"/>
    </row>
    <row r="731" spans="1:11">
      <c r="A731" s="783"/>
      <c r="B731" s="783"/>
      <c r="C731" s="783"/>
      <c r="D731" s="1858"/>
      <c r="E731" s="1858"/>
      <c r="F731" s="1858"/>
      <c r="H731" s="1725"/>
      <c r="I731" s="1725"/>
      <c r="J731" s="1725"/>
      <c r="K731" s="1725"/>
    </row>
    <row r="732" spans="1:11">
      <c r="A732" s="783"/>
      <c r="B732" s="783"/>
      <c r="C732" s="783"/>
      <c r="D732" s="1858"/>
      <c r="E732" s="1858"/>
      <c r="F732" s="1858"/>
      <c r="H732" s="1725"/>
      <c r="I732" s="1725"/>
      <c r="J732" s="1725"/>
      <c r="K732" s="1725"/>
    </row>
    <row r="733" spans="1:11">
      <c r="A733" s="783"/>
      <c r="B733" s="783"/>
      <c r="C733" s="783"/>
      <c r="D733" s="1858"/>
      <c r="E733" s="1858"/>
      <c r="F733" s="1858"/>
      <c r="H733" s="1725"/>
      <c r="I733" s="1725"/>
      <c r="J733" s="1725"/>
      <c r="K733" s="1725"/>
    </row>
    <row r="734" spans="1:11">
      <c r="A734" s="783"/>
      <c r="B734" s="783"/>
      <c r="C734" s="783"/>
      <c r="D734" s="1858"/>
      <c r="E734" s="1858"/>
      <c r="F734" s="1858"/>
      <c r="H734" s="1725"/>
      <c r="I734" s="1725"/>
      <c r="J734" s="1725"/>
      <c r="K734" s="1725"/>
    </row>
    <row r="735" spans="1:11">
      <c r="A735" s="783"/>
      <c r="B735" s="783"/>
      <c r="C735" s="783"/>
      <c r="D735" s="1858"/>
      <c r="E735" s="1858"/>
      <c r="F735" s="1858"/>
      <c r="H735" s="1725"/>
      <c r="I735" s="1725"/>
      <c r="J735" s="1725"/>
      <c r="K735" s="1725"/>
    </row>
    <row r="736" spans="1:11">
      <c r="A736" s="783"/>
      <c r="B736" s="783"/>
      <c r="C736" s="783"/>
      <c r="D736" s="1858"/>
      <c r="E736" s="1858"/>
      <c r="F736" s="1858"/>
      <c r="H736" s="1725"/>
      <c r="I736" s="1725"/>
      <c r="J736" s="1725"/>
      <c r="K736" s="1725"/>
    </row>
    <row r="737" spans="1:11">
      <c r="A737" s="783"/>
      <c r="B737" s="783"/>
      <c r="C737" s="783"/>
      <c r="D737" s="1829" t="s">
        <v>1225</v>
      </c>
      <c r="E737" s="1829"/>
      <c r="F737" s="1829"/>
      <c r="H737" s="1725"/>
      <c r="I737" s="1725"/>
      <c r="J737" s="1725"/>
      <c r="K737" s="1725"/>
    </row>
    <row r="738" spans="1:11">
      <c r="A738" s="783"/>
      <c r="B738" s="783"/>
      <c r="C738" s="783"/>
      <c r="D738" s="1697"/>
      <c r="H738" s="1725"/>
      <c r="I738" s="1725"/>
      <c r="J738" s="1725"/>
      <c r="K738" s="1725"/>
    </row>
    <row r="739" spans="1:11">
      <c r="A739" s="1874" t="s">
        <v>1182</v>
      </c>
      <c r="B739" s="1874"/>
      <c r="C739" s="1874"/>
      <c r="D739" s="1874"/>
      <c r="E739" s="1874"/>
      <c r="F739" s="1874"/>
      <c r="G739" s="1874"/>
      <c r="H739" s="1725"/>
      <c r="I739" s="1725"/>
      <c r="J739" s="1725"/>
      <c r="K739" s="1725"/>
    </row>
    <row r="740" spans="1:11">
      <c r="A740" s="783"/>
      <c r="B740" s="783"/>
      <c r="C740" s="783"/>
      <c r="D740" s="1731"/>
      <c r="G740" s="1725"/>
      <c r="H740" s="1725"/>
      <c r="I740" s="1725"/>
      <c r="J740" s="1725"/>
      <c r="K740" s="1725"/>
    </row>
    <row r="741" spans="1:11" ht="13.9" customHeight="1">
      <c r="C741" s="783"/>
      <c r="D741" s="1860" t="s">
        <v>1198</v>
      </c>
      <c r="E741" s="1860"/>
      <c r="F741" s="1860"/>
      <c r="G741" s="1725"/>
      <c r="H741" s="1725"/>
      <c r="I741" s="1725"/>
      <c r="J741" s="1725"/>
      <c r="K741" s="1725"/>
    </row>
    <row r="742" spans="1:11">
      <c r="A742" s="783"/>
      <c r="B742" s="783"/>
      <c r="C742" s="783"/>
      <c r="D742" s="1859" t="s">
        <v>1199</v>
      </c>
      <c r="E742" s="1859"/>
      <c r="F742" s="1859"/>
      <c r="G742" s="1725"/>
      <c r="H742" s="1725"/>
      <c r="I742" s="1725"/>
      <c r="J742" s="1725"/>
      <c r="K742" s="1725"/>
    </row>
    <row r="743" spans="1:11">
      <c r="A743" s="783"/>
      <c r="B743" s="783"/>
      <c r="C743" s="783"/>
      <c r="G743" s="1725"/>
      <c r="H743" s="1725"/>
      <c r="I743" s="1725"/>
      <c r="J743" s="1725"/>
      <c r="K743" s="1725"/>
    </row>
    <row r="744" spans="1:11" ht="14.25">
      <c r="A744" s="1726"/>
      <c r="B744" s="1703" t="s">
        <v>2595</v>
      </c>
      <c r="D744" s="1858" t="s">
        <v>1200</v>
      </c>
      <c r="E744" s="1858"/>
      <c r="F744" s="1858"/>
      <c r="G744" s="1725"/>
      <c r="H744" s="1725"/>
      <c r="I744" s="1725"/>
      <c r="J744" s="1725"/>
      <c r="K744" s="1725"/>
    </row>
    <row r="745" spans="1:11" ht="10.5" customHeight="1">
      <c r="D745" s="1858"/>
      <c r="E745" s="1858"/>
      <c r="F745" s="1858"/>
      <c r="G745" s="1725"/>
      <c r="H745" s="1725"/>
      <c r="I745" s="1725"/>
      <c r="J745" s="1725"/>
      <c r="K745" s="1725"/>
    </row>
    <row r="746" spans="1:11">
      <c r="D746" s="1858"/>
      <c r="E746" s="1858"/>
      <c r="F746" s="1858"/>
      <c r="G746" s="1725"/>
      <c r="H746" s="1725"/>
      <c r="I746" s="1725"/>
      <c r="J746" s="1725"/>
      <c r="K746" s="1725"/>
    </row>
    <row r="747" spans="1:11">
      <c r="D747" s="1858"/>
      <c r="E747" s="1858"/>
      <c r="F747" s="1858"/>
      <c r="G747" s="1725"/>
      <c r="H747" s="1725"/>
      <c r="I747" s="1725"/>
      <c r="J747" s="1725"/>
      <c r="K747" s="1725"/>
    </row>
    <row r="748" spans="1:11">
      <c r="D748" s="1858"/>
      <c r="E748" s="1858"/>
      <c r="F748" s="1858"/>
      <c r="G748" s="1725"/>
      <c r="H748" s="1725"/>
      <c r="I748" s="1725"/>
      <c r="J748" s="1725"/>
      <c r="K748" s="1725"/>
    </row>
    <row r="749" spans="1:11" ht="15.6" customHeight="1">
      <c r="D749" s="1858"/>
      <c r="E749" s="1858"/>
      <c r="F749" s="1858"/>
      <c r="G749" s="1725"/>
      <c r="H749" s="1725"/>
      <c r="I749" s="1725"/>
      <c r="J749" s="1725"/>
      <c r="K749" s="1725"/>
    </row>
    <row r="750" spans="1:11">
      <c r="D750" s="1713"/>
      <c r="E750" s="1727"/>
      <c r="F750" s="1727"/>
      <c r="G750" s="1725"/>
      <c r="H750" s="1725"/>
      <c r="I750" s="1725"/>
      <c r="J750" s="1725"/>
      <c r="K750" s="1725"/>
    </row>
    <row r="751" spans="1:11" s="1728" customFormat="1" ht="14.25">
      <c r="A751" s="1730"/>
      <c r="B751" s="1703" t="s">
        <v>2595</v>
      </c>
      <c r="C751" s="1729"/>
      <c r="D751" s="1858" t="s">
        <v>1468</v>
      </c>
      <c r="E751" s="1858"/>
      <c r="F751" s="1858"/>
    </row>
    <row r="752" spans="1:11" s="1728" customFormat="1">
      <c r="A752" s="1729"/>
      <c r="B752" s="1729"/>
      <c r="C752" s="1729"/>
      <c r="D752" s="1858"/>
      <c r="E752" s="1858"/>
      <c r="F752" s="1858"/>
    </row>
    <row r="753" spans="1:11" s="1728" customFormat="1">
      <c r="A753" s="1729"/>
      <c r="B753" s="1729"/>
      <c r="C753" s="1729"/>
      <c r="D753" s="1858"/>
      <c r="E753" s="1858"/>
      <c r="F753" s="1858"/>
    </row>
    <row r="754" spans="1:11" s="1728" customFormat="1">
      <c r="A754" s="1729"/>
      <c r="B754" s="1729"/>
      <c r="C754" s="1729"/>
      <c r="D754" s="1858"/>
      <c r="E754" s="1858"/>
      <c r="F754" s="1858"/>
    </row>
    <row r="755" spans="1:11" s="1728" customFormat="1">
      <c r="A755" s="1729"/>
      <c r="B755" s="1729"/>
      <c r="C755" s="1729"/>
      <c r="D755" s="1713"/>
    </row>
    <row r="756" spans="1:11" s="1728" customFormat="1" ht="14.25">
      <c r="A756" s="1726"/>
      <c r="B756" s="1703" t="s">
        <v>2596</v>
      </c>
      <c r="C756" s="1729"/>
      <c r="D756" s="1877" t="s">
        <v>1469</v>
      </c>
      <c r="E756" s="1877"/>
      <c r="F756" s="1877"/>
    </row>
    <row r="757" spans="1:11" s="1728" customFormat="1">
      <c r="A757" s="1729"/>
      <c r="B757" s="1729"/>
      <c r="C757" s="1729"/>
      <c r="D757" s="1877"/>
      <c r="E757" s="1877"/>
      <c r="F757" s="1877"/>
    </row>
    <row r="758" spans="1:11" s="1728" customFormat="1">
      <c r="A758" s="1729"/>
      <c r="B758" s="1729"/>
      <c r="C758" s="1729"/>
      <c r="D758" s="1877"/>
      <c r="E758" s="1877"/>
      <c r="F758" s="1877"/>
    </row>
    <row r="759" spans="1:11">
      <c r="D759" s="1713"/>
      <c r="E759" s="1727"/>
      <c r="F759" s="1727"/>
      <c r="G759" s="1725"/>
      <c r="H759" s="1725"/>
      <c r="I759" s="1725"/>
      <c r="J759" s="1725"/>
      <c r="K759" s="1725"/>
    </row>
    <row r="760" spans="1:11" ht="14.25">
      <c r="A760" s="1726"/>
      <c r="B760" s="1703" t="s">
        <v>2596</v>
      </c>
      <c r="D760" s="1858" t="s">
        <v>1411</v>
      </c>
      <c r="E760" s="1858"/>
      <c r="F760" s="1858"/>
      <c r="G760" s="1725"/>
      <c r="H760" s="1725"/>
      <c r="I760" s="1725"/>
      <c r="J760" s="1725"/>
      <c r="K760" s="1725"/>
    </row>
    <row r="761" spans="1:11">
      <c r="D761" s="1858"/>
      <c r="E761" s="1858"/>
      <c r="F761" s="1858"/>
      <c r="G761" s="1725"/>
      <c r="H761" s="1725"/>
      <c r="I761" s="1725"/>
      <c r="J761" s="1725"/>
      <c r="K761" s="1725"/>
    </row>
    <row r="762" spans="1:11">
      <c r="D762" s="1701"/>
      <c r="E762" s="1701"/>
      <c r="F762" s="1701"/>
      <c r="G762" s="1725"/>
      <c r="H762" s="1725"/>
      <c r="I762" s="1725"/>
      <c r="J762" s="1725"/>
      <c r="K762" s="1725"/>
    </row>
    <row r="763" spans="1:11">
      <c r="B763" s="1703" t="s">
        <v>2596</v>
      </c>
      <c r="D763" s="1858" t="s">
        <v>1433</v>
      </c>
      <c r="E763" s="1858"/>
      <c r="F763" s="1858"/>
      <c r="G763" s="1725"/>
      <c r="H763" s="1725"/>
      <c r="I763" s="1725"/>
      <c r="J763" s="1725"/>
      <c r="K763" s="1725"/>
    </row>
    <row r="764" spans="1:11">
      <c r="D764" s="1858"/>
      <c r="E764" s="1858"/>
      <c r="F764" s="1858"/>
      <c r="G764" s="1725"/>
      <c r="H764" s="1725"/>
      <c r="I764" s="1725"/>
      <c r="J764" s="1725"/>
      <c r="K764" s="1725"/>
    </row>
    <row r="765" spans="1:11">
      <c r="D765" s="1858"/>
      <c r="E765" s="1858"/>
      <c r="F765" s="1858"/>
      <c r="G765" s="1725"/>
      <c r="H765" s="1725"/>
      <c r="I765" s="1725"/>
      <c r="J765" s="1725"/>
      <c r="K765" s="1725"/>
    </row>
    <row r="766" spans="1:11">
      <c r="D766" s="1701"/>
      <c r="E766" s="1701"/>
      <c r="F766" s="1701"/>
      <c r="G766" s="1725"/>
      <c r="H766" s="1725"/>
      <c r="I766" s="1725"/>
      <c r="J766" s="1725"/>
      <c r="K766" s="1725"/>
    </row>
    <row r="767" spans="1:11">
      <c r="A767" s="1879" t="s">
        <v>2384</v>
      </c>
      <c r="B767" s="1879"/>
      <c r="C767" s="1879"/>
      <c r="D767" s="1879"/>
      <c r="E767" s="1879"/>
      <c r="F767" s="1879"/>
      <c r="G767" s="1879"/>
    </row>
    <row r="768" spans="1:11">
      <c r="A768" s="1694"/>
      <c r="B768" s="1694"/>
      <c r="C768" s="557"/>
      <c r="D768" s="6"/>
      <c r="E768" s="6"/>
      <c r="F768" s="6"/>
      <c r="G768" s="6"/>
    </row>
    <row r="769" spans="1:7">
      <c r="A769" s="1694"/>
      <c r="B769" s="1694"/>
      <c r="C769" s="557"/>
      <c r="D769" s="1880" t="s">
        <v>2454</v>
      </c>
      <c r="E769" s="1880"/>
      <c r="F769" s="1880"/>
      <c r="G769" s="6"/>
    </row>
    <row r="770" spans="1:7">
      <c r="A770" s="1694"/>
      <c r="B770" s="1694"/>
      <c r="C770" s="557"/>
      <c r="D770" s="1863" t="s">
        <v>2287</v>
      </c>
      <c r="E770" s="1863"/>
      <c r="F770" s="1863"/>
      <c r="G770" s="6"/>
    </row>
    <row r="771" spans="1:7">
      <c r="A771" s="1694"/>
      <c r="B771" s="1694"/>
      <c r="C771" s="557"/>
      <c r="D771" s="1724"/>
      <c r="E771" s="1724"/>
      <c r="F771" s="1724"/>
      <c r="G771" s="6"/>
    </row>
    <row r="772" spans="1:7">
      <c r="A772" s="1694"/>
      <c r="B772" s="1703" t="s">
        <v>2595</v>
      </c>
      <c r="C772" s="557"/>
      <c r="D772" s="1881" t="s">
        <v>2288</v>
      </c>
      <c r="E772" s="1881"/>
      <c r="F772" s="1881"/>
      <c r="G772" s="6"/>
    </row>
    <row r="773" spans="1:7">
      <c r="A773" s="1694"/>
      <c r="B773" s="1694"/>
      <c r="C773" s="557"/>
      <c r="D773" s="1881"/>
      <c r="E773" s="1881"/>
      <c r="F773" s="1881"/>
      <c r="G773" s="6"/>
    </row>
    <row r="774" spans="1:7">
      <c r="A774" s="314"/>
      <c r="B774" s="314"/>
      <c r="C774" s="314"/>
      <c r="D774" s="1881"/>
      <c r="E774" s="1881"/>
      <c r="F774" s="1881"/>
      <c r="G774" s="1692"/>
    </row>
    <row r="775" spans="1:7">
      <c r="A775" s="557"/>
      <c r="B775" s="557"/>
      <c r="C775" s="557"/>
      <c r="D775" s="1693"/>
      <c r="E775" s="6"/>
      <c r="F775" s="6"/>
      <c r="G775" s="6"/>
    </row>
    <row r="776" spans="1:7">
      <c r="A776" s="1631"/>
      <c r="B776" s="1703" t="s">
        <v>2595</v>
      </c>
      <c r="C776" s="1631"/>
      <c r="D776" s="1881" t="s">
        <v>2289</v>
      </c>
      <c r="E776" s="1881"/>
      <c r="F776" s="1881"/>
      <c r="G776" s="6"/>
    </row>
    <row r="777" spans="1:7">
      <c r="A777" s="1631"/>
      <c r="B777" s="1631"/>
      <c r="C777" s="1631"/>
      <c r="D777" s="1881"/>
      <c r="E777" s="1881"/>
      <c r="F777" s="1881"/>
      <c r="G777" s="6"/>
    </row>
    <row r="778" spans="1:7">
      <c r="A778" s="1631"/>
      <c r="B778" s="1631"/>
      <c r="C778" s="1631"/>
      <c r="D778" s="1881"/>
      <c r="E778" s="1881"/>
      <c r="F778" s="1881"/>
      <c r="G778" s="6"/>
    </row>
    <row r="779" spans="1:7">
      <c r="A779" s="314"/>
      <c r="B779" s="314"/>
      <c r="C779" s="314"/>
      <c r="D779" s="6"/>
      <c r="E779" s="1628"/>
      <c r="F779" s="1628"/>
      <c r="G779" s="1628"/>
    </row>
    <row r="780" spans="1:7" ht="14.25">
      <c r="A780" s="1704"/>
      <c r="B780" s="1703" t="s">
        <v>2596</v>
      </c>
      <c r="C780" s="1629"/>
      <c r="D780" s="1881" t="s">
        <v>2290</v>
      </c>
      <c r="E780" s="1881"/>
      <c r="F780" s="1881"/>
      <c r="G780" s="1628"/>
    </row>
    <row r="781" spans="1:7" ht="14.25">
      <c r="A781" s="1704"/>
      <c r="B781" s="1704"/>
      <c r="C781" s="1629"/>
      <c r="D781" s="1881"/>
      <c r="E781" s="1881"/>
      <c r="F781" s="1881"/>
      <c r="G781" s="1628"/>
    </row>
    <row r="782" spans="1:7" ht="14.25">
      <c r="A782" s="1704"/>
      <c r="B782" s="1704"/>
      <c r="C782" s="1629"/>
      <c r="D782" s="1881"/>
      <c r="E782" s="1881"/>
      <c r="F782" s="1881"/>
      <c r="G782" s="1628"/>
    </row>
    <row r="783" spans="1:7" ht="14.25">
      <c r="A783" s="1704"/>
      <c r="B783" s="1704"/>
      <c r="C783" s="1629"/>
      <c r="D783" s="1692"/>
      <c r="E783" s="6"/>
      <c r="F783" s="6"/>
      <c r="G783" s="1628"/>
    </row>
    <row r="784" spans="1:7" ht="14.25">
      <c r="A784" s="1704"/>
      <c r="B784" s="1703" t="s">
        <v>2596</v>
      </c>
      <c r="C784" s="1629"/>
      <c r="D784" s="1881" t="s">
        <v>2291</v>
      </c>
      <c r="E784" s="1881"/>
      <c r="F784" s="1881"/>
      <c r="G784" s="1628"/>
    </row>
    <row r="785" spans="1:7" ht="14.25">
      <c r="A785" s="1704"/>
      <c r="B785" s="1704"/>
      <c r="C785" s="1629"/>
      <c r="D785" s="1881"/>
      <c r="E785" s="1881"/>
      <c r="F785" s="1881"/>
      <c r="G785" s="1628"/>
    </row>
    <row r="786" spans="1:7" ht="14.25">
      <c r="A786" s="1704"/>
      <c r="B786" s="1704"/>
      <c r="C786" s="1629"/>
      <c r="D786" s="1881"/>
      <c r="E786" s="1881"/>
      <c r="F786" s="1881"/>
      <c r="G786" s="1628"/>
    </row>
    <row r="787" spans="1:7" ht="14.25">
      <c r="A787" s="1704"/>
      <c r="B787" s="1704"/>
      <c r="C787" s="1629"/>
      <c r="D787" s="1881"/>
      <c r="E787" s="1881"/>
      <c r="F787" s="1881"/>
      <c r="G787" s="1628"/>
    </row>
    <row r="788" spans="1:7" ht="14.25">
      <c r="A788" s="1704"/>
      <c r="B788" s="1704"/>
      <c r="C788" s="1629"/>
      <c r="D788" s="1881"/>
      <c r="E788" s="1881"/>
      <c r="F788" s="1881"/>
      <c r="G788" s="1628"/>
    </row>
    <row r="789" spans="1:7" ht="14.25">
      <c r="A789" s="1704"/>
      <c r="B789" s="1704"/>
      <c r="C789" s="1629"/>
      <c r="D789" s="1881"/>
      <c r="E789" s="1881"/>
      <c r="F789" s="1881"/>
      <c r="G789" s="1628"/>
    </row>
    <row r="790" spans="1:7" ht="14.25">
      <c r="A790" s="1704"/>
      <c r="B790" s="1704"/>
      <c r="C790" s="1629"/>
      <c r="D790" s="1881" t="s">
        <v>2385</v>
      </c>
      <c r="E790" s="1881"/>
      <c r="F790" s="1881"/>
      <c r="G790" s="1628"/>
    </row>
    <row r="791" spans="1:7" ht="14.25">
      <c r="A791" s="1704"/>
      <c r="B791" s="1704"/>
      <c r="C791" s="1629"/>
      <c r="D791" s="1881"/>
      <c r="E791" s="1881"/>
      <c r="F791" s="1881"/>
      <c r="G791" s="1628"/>
    </row>
    <row r="792" spans="1:7" ht="14.25">
      <c r="A792" s="1704"/>
      <c r="B792" s="1704"/>
      <c r="C792" s="1629"/>
      <c r="D792" s="1881"/>
      <c r="E792" s="1881"/>
      <c r="F792" s="1881"/>
      <c r="G792" s="1628"/>
    </row>
    <row r="793" spans="1:7" ht="14.25">
      <c r="A793" s="1704"/>
      <c r="B793" s="557"/>
      <c r="C793" s="1629"/>
      <c r="D793" s="1723"/>
      <c r="E793" s="1723"/>
      <c r="F793" s="1723"/>
      <c r="G793" s="1628"/>
    </row>
    <row r="794" spans="1:7" ht="14.25">
      <c r="A794" s="1704"/>
      <c r="B794" s="1703" t="s">
        <v>2596</v>
      </c>
      <c r="C794" s="1629"/>
      <c r="D794" s="1881" t="s">
        <v>2292</v>
      </c>
      <c r="E794" s="1881"/>
      <c r="F794" s="1881"/>
      <c r="G794" s="1628"/>
    </row>
    <row r="795" spans="1:7" ht="14.25">
      <c r="A795" s="1704"/>
      <c r="B795" s="1704"/>
      <c r="C795" s="1629"/>
      <c r="D795" s="1881"/>
      <c r="E795" s="1881"/>
      <c r="F795" s="1881"/>
      <c r="G795" s="1628"/>
    </row>
    <row r="796" spans="1:7" ht="14.25">
      <c r="A796" s="1704"/>
      <c r="B796" s="1704"/>
      <c r="C796" s="1629"/>
      <c r="D796" s="1881"/>
      <c r="E796" s="1881"/>
      <c r="F796" s="1881"/>
      <c r="G796" s="1628"/>
    </row>
    <row r="797" spans="1:7" ht="14.25">
      <c r="A797" s="1704"/>
      <c r="B797" s="1704"/>
      <c r="C797" s="1629"/>
      <c r="D797" s="1881"/>
      <c r="E797" s="1881"/>
      <c r="F797" s="1881"/>
      <c r="G797" s="1628"/>
    </row>
    <row r="798" spans="1:7" ht="14.25">
      <c r="A798" s="1704"/>
      <c r="B798" s="1704"/>
      <c r="C798" s="1629"/>
      <c r="D798" s="1881"/>
      <c r="E798" s="1881"/>
      <c r="F798" s="1881"/>
      <c r="G798" s="1628"/>
    </row>
    <row r="799" spans="1:7" ht="14.25">
      <c r="A799" s="1704"/>
      <c r="B799" s="1704"/>
      <c r="C799" s="1629"/>
      <c r="D799" s="1881"/>
      <c r="E799" s="1881"/>
      <c r="F799" s="1881"/>
      <c r="G799" s="1628"/>
    </row>
    <row r="800" spans="1:7" ht="14.25">
      <c r="A800" s="1704"/>
      <c r="B800" s="1704"/>
      <c r="C800" s="1629"/>
      <c r="D800" s="1722"/>
      <c r="E800" s="1722"/>
      <c r="F800" s="1722"/>
      <c r="G800" s="1628"/>
    </row>
    <row r="801" spans="1:7" ht="14.25">
      <c r="A801" s="1704"/>
      <c r="B801" s="1703" t="s">
        <v>2596</v>
      </c>
      <c r="C801" s="1629"/>
      <c r="D801" s="1881" t="s">
        <v>2293</v>
      </c>
      <c r="E801" s="1881"/>
      <c r="F801" s="1881"/>
      <c r="G801" s="1628"/>
    </row>
    <row r="802" spans="1:7" ht="14.25">
      <c r="A802" s="1704"/>
      <c r="B802" s="1704"/>
      <c r="C802" s="1629"/>
      <c r="D802" s="1881"/>
      <c r="E802" s="1881"/>
      <c r="F802" s="1881"/>
      <c r="G802" s="1628"/>
    </row>
    <row r="803" spans="1:7" ht="14.25">
      <c r="A803" s="1704"/>
      <c r="B803" s="1704"/>
      <c r="C803" s="1629"/>
      <c r="D803" s="1881"/>
      <c r="E803" s="1881"/>
      <c r="F803" s="1881"/>
      <c r="G803" s="1628"/>
    </row>
    <row r="804" spans="1:7" ht="14.25">
      <c r="A804" s="1704"/>
      <c r="B804" s="1704"/>
      <c r="C804" s="1629"/>
      <c r="D804" s="1881"/>
      <c r="E804" s="1881"/>
      <c r="F804" s="1881"/>
      <c r="G804" s="1628"/>
    </row>
    <row r="805" spans="1:7" ht="14.25">
      <c r="A805" s="1704"/>
      <c r="B805" s="1704"/>
      <c r="C805" s="1629"/>
      <c r="D805" s="1881"/>
      <c r="E805" s="1881"/>
      <c r="F805" s="1881"/>
      <c r="G805" s="1628"/>
    </row>
    <row r="806" spans="1:7" ht="14.25">
      <c r="A806" s="1704"/>
      <c r="B806" s="1704"/>
      <c r="C806" s="1629"/>
      <c r="D806" s="1881"/>
      <c r="E806" s="1881"/>
      <c r="F806" s="1881"/>
      <c r="G806" s="1628"/>
    </row>
    <row r="807" spans="1:7" ht="14.25">
      <c r="A807" s="1704"/>
      <c r="B807" s="1704"/>
      <c r="C807" s="1629"/>
      <c r="D807" s="1722"/>
      <c r="E807" s="1722"/>
      <c r="F807" s="1722"/>
      <c r="G807" s="1628"/>
    </row>
    <row r="808" spans="1:7" ht="14.25">
      <c r="A808" s="1704"/>
      <c r="B808" s="1703" t="s">
        <v>2596</v>
      </c>
      <c r="C808" s="1629"/>
      <c r="D808" s="1882" t="s">
        <v>2294</v>
      </c>
      <c r="E808" s="1882"/>
      <c r="F808" s="1882"/>
      <c r="G808" s="1628"/>
    </row>
    <row r="809" spans="1:7" ht="14.25">
      <c r="A809" s="1704"/>
      <c r="B809" s="1704"/>
      <c r="C809" s="1629"/>
      <c r="D809" s="1882"/>
      <c r="E809" s="1882"/>
      <c r="F809" s="1882"/>
      <c r="G809" s="1628"/>
    </row>
    <row r="810" spans="1:7">
      <c r="A810" s="347"/>
      <c r="B810" s="347"/>
      <c r="C810" s="1629"/>
      <c r="D810" s="1882"/>
      <c r="E810" s="1882"/>
      <c r="F810" s="1882"/>
      <c r="G810" s="1628"/>
    </row>
    <row r="811" spans="1:7" ht="14.25">
      <c r="A811" s="1704"/>
      <c r="B811" s="347"/>
      <c r="C811" s="1629"/>
      <c r="D811" s="1882"/>
      <c r="E811" s="1882"/>
      <c r="F811" s="1882"/>
      <c r="G811" s="1628"/>
    </row>
    <row r="812" spans="1:7" ht="12.75" customHeight="1">
      <c r="A812" s="1704"/>
      <c r="B812" s="347"/>
      <c r="C812" s="1629"/>
      <c r="D812" s="1882"/>
      <c r="E812" s="1882"/>
      <c r="F812" s="1882"/>
      <c r="G812" s="1628"/>
    </row>
    <row r="813" spans="1:7" ht="12.75" customHeight="1">
      <c r="A813" s="1704"/>
      <c r="B813" s="347"/>
      <c r="C813" s="1629"/>
      <c r="D813" s="1882"/>
      <c r="E813" s="1882"/>
      <c r="F813" s="1882"/>
      <c r="G813" s="1628"/>
    </row>
    <row r="814" spans="1:7" ht="12.75" customHeight="1">
      <c r="A814" s="347"/>
      <c r="B814" s="347"/>
      <c r="C814" s="1629"/>
      <c r="D814" s="1628"/>
      <c r="E814" s="6"/>
      <c r="F814" s="6"/>
      <c r="G814" s="1628"/>
    </row>
    <row r="815" spans="1:7" ht="12.75" customHeight="1">
      <c r="A815" s="1883" t="s">
        <v>2295</v>
      </c>
      <c r="B815" s="1883"/>
      <c r="C815" s="1883"/>
      <c r="D815" s="1883"/>
      <c r="E815" s="1883"/>
      <c r="F815" s="1883"/>
      <c r="G815" s="1883"/>
    </row>
    <row r="816" spans="1:7" ht="12.75" customHeight="1">
      <c r="A816" s="1631"/>
      <c r="B816" s="1631"/>
      <c r="C816" s="1629"/>
      <c r="D816" s="1628"/>
      <c r="E816" s="1628"/>
      <c r="F816" s="1628"/>
      <c r="G816" s="1628"/>
    </row>
    <row r="817" spans="1:7" ht="12.75" customHeight="1">
      <c r="A817" s="1704"/>
      <c r="B817" s="1704"/>
      <c r="C817" s="557"/>
      <c r="D817" s="1810" t="s">
        <v>2386</v>
      </c>
      <c r="E817" s="1810"/>
      <c r="F817" s="1810"/>
      <c r="G817" s="6"/>
    </row>
    <row r="818" spans="1:7" ht="14.25" customHeight="1">
      <c r="A818" s="1704"/>
      <c r="B818" s="1704"/>
      <c r="C818" s="557"/>
      <c r="D818" s="1761" t="s">
        <v>2296</v>
      </c>
      <c r="E818" s="1761"/>
      <c r="F818" s="1761"/>
      <c r="G818" s="6"/>
    </row>
    <row r="819" spans="1:7" ht="12.75" customHeight="1">
      <c r="A819" s="1704"/>
      <c r="B819" s="1704"/>
      <c r="C819" s="557"/>
      <c r="D819" s="1689"/>
      <c r="E819" s="1689"/>
      <c r="F819" s="1689"/>
      <c r="G819" s="6"/>
    </row>
    <row r="820" spans="1:7" ht="12.75" customHeight="1">
      <c r="A820" s="557"/>
      <c r="B820" s="1703" t="s">
        <v>2595</v>
      </c>
      <c r="C820" s="1629"/>
      <c r="D820" s="1761" t="s">
        <v>2297</v>
      </c>
      <c r="E820" s="1761"/>
      <c r="F820" s="1761"/>
      <c r="G820" s="6"/>
    </row>
    <row r="821" spans="1:7" ht="14.25" customHeight="1">
      <c r="A821" s="347"/>
      <c r="B821" s="347"/>
      <c r="C821" s="1629"/>
      <c r="D821" s="5" t="s">
        <v>2273</v>
      </c>
      <c r="E821" s="1770" t="s">
        <v>2298</v>
      </c>
      <c r="F821" s="1770"/>
      <c r="G821" s="6"/>
    </row>
    <row r="822" spans="1:7" ht="12.75" customHeight="1">
      <c r="A822" s="347"/>
      <c r="B822" s="347"/>
      <c r="C822" s="1629"/>
      <c r="D822" s="1630"/>
      <c r="E822" s="6"/>
      <c r="F822" s="6"/>
      <c r="G822" s="6"/>
    </row>
    <row r="823" spans="1:7" ht="14.25" hidden="1" customHeight="1">
      <c r="A823" s="347"/>
      <c r="B823" s="1703" t="s">
        <v>318</v>
      </c>
      <c r="C823" s="1629"/>
      <c r="D823" s="1884" t="s">
        <v>2299</v>
      </c>
      <c r="E823" s="1884"/>
      <c r="F823" s="1884"/>
      <c r="G823" s="6"/>
    </row>
    <row r="824" spans="1:7" ht="12.75" hidden="1" customHeight="1">
      <c r="A824" s="347"/>
      <c r="B824" s="347"/>
      <c r="C824" s="1629"/>
      <c r="D824" s="1884"/>
      <c r="E824" s="1884"/>
      <c r="F824" s="1884"/>
      <c r="G824" s="6"/>
    </row>
    <row r="825" spans="1:7" ht="12.75" hidden="1" customHeight="1">
      <c r="A825" s="347"/>
      <c r="B825" s="347"/>
      <c r="C825" s="1629"/>
      <c r="D825" s="1884"/>
      <c r="E825" s="1884"/>
      <c r="F825" s="1884"/>
      <c r="G825" s="6"/>
    </row>
    <row r="826" spans="1:7" ht="12.75" hidden="1" customHeight="1">
      <c r="A826" s="347"/>
      <c r="B826" s="347"/>
      <c r="C826" s="1629"/>
      <c r="D826" s="1884"/>
      <c r="E826" s="1884"/>
      <c r="F826" s="1884"/>
      <c r="G826" s="6"/>
    </row>
    <row r="827" spans="1:7" ht="12.75" hidden="1" customHeight="1">
      <c r="A827" s="347"/>
      <c r="B827" s="347"/>
      <c r="C827" s="1629"/>
      <c r="D827" s="1884"/>
      <c r="E827" s="1884"/>
      <c r="F827" s="1884"/>
      <c r="G827" s="6"/>
    </row>
    <row r="828" spans="1:7" ht="12.75" hidden="1" customHeight="1">
      <c r="A828" s="347"/>
      <c r="B828" s="347"/>
      <c r="C828" s="1629"/>
      <c r="D828" s="1884"/>
      <c r="E828" s="1884"/>
      <c r="F828" s="1884"/>
      <c r="G828" s="6"/>
    </row>
    <row r="829" spans="1:7" ht="12.75" hidden="1" customHeight="1">
      <c r="A829" s="347"/>
      <c r="B829" s="347"/>
      <c r="C829" s="1629"/>
      <c r="D829" s="1884"/>
      <c r="E829" s="1884"/>
      <c r="F829" s="1884"/>
      <c r="G829" s="6"/>
    </row>
    <row r="830" spans="1:7" ht="12.75" hidden="1" customHeight="1">
      <c r="A830" s="347"/>
      <c r="B830" s="347"/>
      <c r="C830" s="1629"/>
      <c r="D830" s="1884"/>
      <c r="E830" s="1884"/>
      <c r="F830" s="1884"/>
      <c r="G830" s="6"/>
    </row>
    <row r="831" spans="1:7" ht="12.75" hidden="1" customHeight="1">
      <c r="A831" s="347"/>
      <c r="B831" s="347"/>
      <c r="C831" s="1629"/>
      <c r="D831" s="1884"/>
      <c r="E831" s="1884"/>
      <c r="F831" s="1884"/>
      <c r="G831" s="6"/>
    </row>
    <row r="832" spans="1:7" ht="12.75" hidden="1" customHeight="1">
      <c r="A832" s="347"/>
      <c r="B832" s="347"/>
      <c r="C832" s="1629"/>
      <c r="D832" s="1884"/>
      <c r="E832" s="1884"/>
      <c r="F832" s="1884"/>
      <c r="G832" s="6"/>
    </row>
    <row r="833" spans="1:7" ht="12.75" hidden="1" customHeight="1">
      <c r="A833" s="347"/>
      <c r="B833" s="347"/>
      <c r="C833" s="1629"/>
      <c r="D833" s="1630"/>
      <c r="E833" s="6"/>
      <c r="F833" s="6"/>
      <c r="G833" s="6"/>
    </row>
    <row r="834" spans="1:7" ht="12.75" customHeight="1">
      <c r="A834" s="1704"/>
      <c r="B834" s="1703" t="s">
        <v>2595</v>
      </c>
      <c r="C834" s="1629"/>
      <c r="D834" s="1761" t="s">
        <v>2300</v>
      </c>
      <c r="E834" s="1761"/>
      <c r="F834" s="1761"/>
      <c r="G834" s="6"/>
    </row>
    <row r="835" spans="1:7" ht="12.75" customHeight="1">
      <c r="A835" s="1704"/>
      <c r="B835" s="1704"/>
      <c r="C835" s="1629"/>
      <c r="D835" s="1761"/>
      <c r="E835" s="1761"/>
      <c r="F835" s="1761"/>
      <c r="G835" s="6"/>
    </row>
    <row r="836" spans="1:7" ht="12.75" customHeight="1">
      <c r="A836" s="1704"/>
      <c r="B836" s="1704"/>
      <c r="C836" s="1629"/>
      <c r="D836" s="1761"/>
      <c r="E836" s="1761"/>
      <c r="F836" s="1761"/>
      <c r="G836" s="6"/>
    </row>
    <row r="837" spans="1:7" ht="12.75" customHeight="1">
      <c r="A837" s="1704"/>
      <c r="B837" s="1704"/>
      <c r="C837" s="1629"/>
      <c r="D837" s="1692"/>
      <c r="E837" s="6"/>
      <c r="F837" s="6"/>
      <c r="G837" s="6"/>
    </row>
    <row r="838" spans="1:7" ht="12.75" customHeight="1">
      <c r="A838" s="1635"/>
      <c r="B838" s="1703" t="s">
        <v>2596</v>
      </c>
      <c r="C838" s="1629"/>
      <c r="D838" s="1810" t="s">
        <v>2301</v>
      </c>
      <c r="E838" s="1810"/>
      <c r="F838" s="1810"/>
      <c r="G838" s="6"/>
    </row>
    <row r="839" spans="1:7" ht="12.75" customHeight="1">
      <c r="A839" s="557"/>
      <c r="B839" s="1635"/>
      <c r="C839" s="1629"/>
      <c r="D839" s="1810"/>
      <c r="E839" s="1810"/>
      <c r="F839" s="1810"/>
      <c r="G839" s="6"/>
    </row>
    <row r="840" spans="1:7" ht="12.75" customHeight="1">
      <c r="A840" s="1704"/>
      <c r="B840" s="557"/>
      <c r="C840" s="1629"/>
      <c r="D840" s="1761" t="s">
        <v>2302</v>
      </c>
      <c r="E840" s="1761"/>
      <c r="F840" s="1761"/>
      <c r="G840" s="6"/>
    </row>
    <row r="841" spans="1:7" ht="12.75" customHeight="1">
      <c r="A841" s="1704"/>
      <c r="B841" s="1704"/>
      <c r="C841" s="1629"/>
      <c r="D841" s="1761"/>
      <c r="E841" s="1761"/>
      <c r="F841" s="1761"/>
      <c r="G841" s="6"/>
    </row>
    <row r="842" spans="1:7" ht="12.75" customHeight="1">
      <c r="A842" s="1704"/>
      <c r="B842" s="1704"/>
      <c r="C842" s="1629"/>
      <c r="D842" s="1761"/>
      <c r="E842" s="1761"/>
      <c r="F842" s="1761"/>
      <c r="G842" s="6"/>
    </row>
    <row r="843" spans="1:7" ht="12.75" customHeight="1">
      <c r="A843" s="1704"/>
      <c r="B843" s="1704"/>
      <c r="C843" s="1629"/>
      <c r="D843" s="1761"/>
      <c r="E843" s="1761"/>
      <c r="F843" s="1761"/>
      <c r="G843" s="6"/>
    </row>
    <row r="844" spans="1:7" ht="12.75" customHeight="1">
      <c r="A844" s="1704"/>
      <c r="B844" s="1704"/>
      <c r="C844" s="1629"/>
      <c r="D844" s="1761"/>
      <c r="E844" s="1761"/>
      <c r="F844" s="1761"/>
      <c r="G844" s="6"/>
    </row>
    <row r="845" spans="1:7" ht="12.75" customHeight="1">
      <c r="A845" s="1704"/>
      <c r="B845" s="1704"/>
      <c r="C845" s="1629"/>
      <c r="D845" s="1761"/>
      <c r="E845" s="1761"/>
      <c r="F845" s="1761"/>
      <c r="G845" s="6"/>
    </row>
    <row r="846" spans="1:7" ht="12.75" customHeight="1">
      <c r="A846" s="1704"/>
      <c r="B846" s="1704"/>
      <c r="C846" s="1629"/>
      <c r="D846" s="1692"/>
      <c r="E846" s="6"/>
      <c r="F846" s="6"/>
      <c r="G846" s="6"/>
    </row>
    <row r="847" spans="1:7" ht="12.75" customHeight="1">
      <c r="A847" s="1704"/>
      <c r="B847" s="1703" t="s">
        <v>2596</v>
      </c>
      <c r="C847" s="1629"/>
      <c r="D847" s="1761" t="s">
        <v>2303</v>
      </c>
      <c r="E847" s="1761"/>
      <c r="F847" s="1761"/>
      <c r="G847" s="6"/>
    </row>
    <row r="848" spans="1:7" ht="12.75" customHeight="1">
      <c r="A848" s="1704"/>
      <c r="B848" s="1704"/>
      <c r="C848" s="1629"/>
      <c r="D848" s="1761" t="s">
        <v>2304</v>
      </c>
      <c r="E848" s="1761"/>
      <c r="F848" s="1761"/>
      <c r="G848" s="6"/>
    </row>
    <row r="849" spans="1:7" ht="12.75" customHeight="1">
      <c r="A849" s="1704"/>
      <c r="B849" s="1704"/>
      <c r="C849" s="1629"/>
      <c r="D849" s="5" t="s">
        <v>2270</v>
      </c>
      <c r="E849" s="1770" t="s">
        <v>2305</v>
      </c>
      <c r="F849" s="1770"/>
      <c r="G849" s="6"/>
    </row>
    <row r="850" spans="1:7" ht="12.75" customHeight="1">
      <c r="A850" s="1704"/>
      <c r="B850" s="1704"/>
      <c r="C850" s="1629"/>
      <c r="D850" s="1692"/>
      <c r="E850" s="6"/>
      <c r="F850" s="6"/>
      <c r="G850" s="6"/>
    </row>
    <row r="851" spans="1:7" ht="12.75" customHeight="1">
      <c r="A851" s="1704"/>
      <c r="B851" s="1703" t="s">
        <v>2596</v>
      </c>
      <c r="C851" s="1629"/>
      <c r="D851" s="1761" t="s">
        <v>2306</v>
      </c>
      <c r="E851" s="1761"/>
      <c r="F851" s="1761"/>
      <c r="G851" s="6"/>
    </row>
    <row r="852" spans="1:7" ht="12.75" customHeight="1">
      <c r="A852" s="1704"/>
      <c r="B852" s="1704"/>
      <c r="C852" s="1629"/>
      <c r="D852" s="1761"/>
      <c r="E852" s="1761"/>
      <c r="F852" s="1761"/>
      <c r="G852" s="6"/>
    </row>
    <row r="853" spans="1:7" ht="12.75" customHeight="1">
      <c r="A853" s="1704"/>
      <c r="B853" s="1704"/>
      <c r="C853" s="1629"/>
      <c r="D853" s="1761"/>
      <c r="E853" s="1761"/>
      <c r="F853" s="1761"/>
      <c r="G853" s="6"/>
    </row>
    <row r="854" spans="1:7" ht="12.75" customHeight="1">
      <c r="A854" s="1704"/>
      <c r="B854" s="1704"/>
      <c r="C854" s="1629"/>
      <c r="D854" s="1761"/>
      <c r="E854" s="1761"/>
      <c r="F854" s="1761"/>
      <c r="G854" s="6"/>
    </row>
    <row r="855" spans="1:7" ht="12.75" customHeight="1">
      <c r="A855" s="1631"/>
      <c r="B855" s="1631"/>
      <c r="C855" s="1631"/>
      <c r="D855" s="1692"/>
      <c r="E855" s="6"/>
      <c r="F855" s="6"/>
      <c r="G855" s="6"/>
    </row>
    <row r="856" spans="1:7" ht="12.75" customHeight="1">
      <c r="A856" s="1721" t="s">
        <v>2307</v>
      </c>
      <c r="B856" s="1721"/>
      <c r="C856" s="1632"/>
      <c r="D856" s="1632"/>
      <c r="E856" s="1632"/>
      <c r="F856" s="1632"/>
      <c r="G856" s="1632"/>
    </row>
    <row r="857" spans="1:7" ht="12.75" customHeight="1">
      <c r="A857" s="1631"/>
      <c r="B857" s="1631"/>
      <c r="C857" s="1631"/>
      <c r="D857" s="1633"/>
      <c r="E857" s="6"/>
      <c r="F857" s="6"/>
      <c r="G857" s="6"/>
    </row>
    <row r="858" spans="1:7" ht="12.75" customHeight="1">
      <c r="A858" s="557"/>
      <c r="B858" s="557"/>
      <c r="C858" s="314"/>
      <c r="D858" s="1784" t="s">
        <v>2387</v>
      </c>
      <c r="E858" s="1784"/>
      <c r="F858" s="1784"/>
      <c r="G858" s="1628"/>
    </row>
    <row r="859" spans="1:7" ht="12.75" customHeight="1">
      <c r="A859" s="557"/>
      <c r="B859" s="557"/>
      <c r="C859" s="314"/>
      <c r="D859" s="1885" t="s">
        <v>2308</v>
      </c>
      <c r="E859" s="1885"/>
      <c r="F859" s="1885"/>
      <c r="G859" s="1628"/>
    </row>
    <row r="860" spans="1:7" ht="12.75" customHeight="1">
      <c r="A860" s="557"/>
      <c r="B860" s="557"/>
      <c r="C860" s="314"/>
      <c r="D860" s="1699"/>
      <c r="E860" s="1699"/>
      <c r="F860" s="1699"/>
      <c r="G860" s="1628"/>
    </row>
    <row r="861" spans="1:7" ht="12.75" customHeight="1">
      <c r="A861" s="1704"/>
      <c r="B861" s="1703" t="s">
        <v>2595</v>
      </c>
      <c r="C861" s="557"/>
      <c r="D861" s="1774" t="s">
        <v>2309</v>
      </c>
      <c r="E861" s="1774"/>
      <c r="F861" s="1774"/>
      <c r="G861" s="1628"/>
    </row>
    <row r="862" spans="1:7" ht="12.75" customHeight="1">
      <c r="A862" s="557"/>
      <c r="B862" s="557"/>
      <c r="C862" s="557"/>
      <c r="D862" s="5" t="s">
        <v>2270</v>
      </c>
      <c r="E862" s="1886" t="s">
        <v>2305</v>
      </c>
      <c r="F862" s="1886"/>
      <c r="G862" s="1628"/>
    </row>
    <row r="863" spans="1:7" ht="12.75" customHeight="1">
      <c r="A863" s="557"/>
      <c r="B863" s="557"/>
      <c r="C863" s="557"/>
      <c r="D863" s="1692"/>
      <c r="E863" s="1628"/>
      <c r="F863" s="1628"/>
      <c r="G863" s="1628"/>
    </row>
    <row r="864" spans="1:7" ht="12.75" customHeight="1">
      <c r="A864" s="1704"/>
      <c r="B864" s="1703" t="s">
        <v>2595</v>
      </c>
      <c r="C864" s="557"/>
      <c r="D864" s="1761" t="s">
        <v>2310</v>
      </c>
      <c r="E864" s="1785"/>
      <c r="F864" s="1785"/>
      <c r="G864" s="6"/>
    </row>
    <row r="865" spans="1:7" ht="12.75" customHeight="1">
      <c r="A865" s="557"/>
      <c r="B865" s="557"/>
      <c r="C865" s="557"/>
      <c r="D865" s="1785"/>
      <c r="E865" s="1785"/>
      <c r="F865" s="1785"/>
      <c r="G865" s="6"/>
    </row>
    <row r="866" spans="1:7" ht="12.75" customHeight="1">
      <c r="A866" s="557"/>
      <c r="B866" s="557"/>
      <c r="C866" s="557"/>
      <c r="D866" s="1692"/>
      <c r="E866" s="6"/>
      <c r="F866" s="6"/>
      <c r="G866" s="6"/>
    </row>
    <row r="867" spans="1:7" ht="12.75" customHeight="1">
      <c r="A867" s="557"/>
      <c r="B867" s="1703" t="s">
        <v>2596</v>
      </c>
      <c r="C867" s="557"/>
      <c r="D867" s="1887" t="s">
        <v>2311</v>
      </c>
      <c r="E867" s="1887"/>
      <c r="F867" s="1887"/>
      <c r="G867" s="1628"/>
    </row>
    <row r="868" spans="1:7" ht="12.75" customHeight="1">
      <c r="A868" s="557"/>
      <c r="B868" s="1720"/>
      <c r="C868" s="557"/>
      <c r="D868" s="1887"/>
      <c r="E868" s="1887"/>
      <c r="F868" s="1887"/>
      <c r="G868" s="1628"/>
    </row>
    <row r="869" spans="1:7" ht="12.75" customHeight="1">
      <c r="A869" s="1704"/>
      <c r="B869" s="718"/>
      <c r="C869" s="557"/>
      <c r="D869" s="1761" t="s">
        <v>2302</v>
      </c>
      <c r="E869" s="1761"/>
      <c r="F869" s="1761"/>
      <c r="G869" s="1628"/>
    </row>
    <row r="870" spans="1:7" ht="12.75" customHeight="1">
      <c r="A870" s="1704"/>
      <c r="B870" s="1704"/>
      <c r="C870" s="557"/>
      <c r="D870" s="1761"/>
      <c r="E870" s="1761"/>
      <c r="F870" s="1761"/>
      <c r="G870" s="1628"/>
    </row>
    <row r="871" spans="1:7" ht="12.75" customHeight="1">
      <c r="A871" s="1704"/>
      <c r="B871" s="1704"/>
      <c r="C871" s="557"/>
      <c r="D871" s="1761"/>
      <c r="E871" s="1761"/>
      <c r="F871" s="1761"/>
      <c r="G871" s="1628"/>
    </row>
    <row r="872" spans="1:7" ht="12.75" customHeight="1">
      <c r="A872" s="1704"/>
      <c r="B872" s="1704"/>
      <c r="C872" s="557"/>
      <c r="D872" s="1761"/>
      <c r="E872" s="1761"/>
      <c r="F872" s="1761"/>
      <c r="G872" s="1628"/>
    </row>
    <row r="873" spans="1:7" ht="12.75" customHeight="1">
      <c r="A873" s="1704"/>
      <c r="B873" s="1704"/>
      <c r="C873" s="557"/>
      <c r="D873" s="1761"/>
      <c r="E873" s="1761"/>
      <c r="F873" s="1761"/>
      <c r="G873" s="1628"/>
    </row>
    <row r="874" spans="1:7" ht="12.75" customHeight="1">
      <c r="A874" s="1704"/>
      <c r="B874" s="1704"/>
      <c r="C874" s="557"/>
      <c r="D874" s="1761"/>
      <c r="E874" s="1761"/>
      <c r="F874" s="1761"/>
      <c r="G874" s="1628"/>
    </row>
    <row r="875" spans="1:7" ht="12.75" customHeight="1">
      <c r="A875" s="1704"/>
      <c r="B875" s="1704"/>
      <c r="C875" s="557"/>
      <c r="D875" s="1692"/>
      <c r="E875" s="1628"/>
      <c r="F875" s="1628"/>
      <c r="G875" s="1628"/>
    </row>
    <row r="876" spans="1:7" ht="12.75" customHeight="1">
      <c r="A876" s="1704"/>
      <c r="B876" s="1703" t="s">
        <v>2596</v>
      </c>
      <c r="C876" s="557"/>
      <c r="D876" s="1827" t="s">
        <v>2303</v>
      </c>
      <c r="E876" s="1827"/>
      <c r="F876" s="1827"/>
      <c r="G876" s="1628"/>
    </row>
    <row r="877" spans="1:7" ht="12.75" customHeight="1">
      <c r="A877" s="1704"/>
      <c r="B877" s="1704"/>
      <c r="C877" s="557"/>
      <c r="D877" s="1827" t="s">
        <v>2304</v>
      </c>
      <c r="E877" s="1827"/>
      <c r="F877" s="1827"/>
      <c r="G877" s="1628"/>
    </row>
    <row r="878" spans="1:7" ht="12.75" customHeight="1">
      <c r="A878" s="1704"/>
      <c r="B878" s="1704"/>
      <c r="C878" s="557"/>
      <c r="D878" s="5" t="s">
        <v>1513</v>
      </c>
      <c r="E878" s="1888" t="s">
        <v>2305</v>
      </c>
      <c r="F878" s="1888"/>
      <c r="G878" s="1628"/>
    </row>
    <row r="879" spans="1:7" ht="12.75" customHeight="1">
      <c r="A879" s="1704"/>
      <c r="B879" s="1704"/>
      <c r="C879" s="557"/>
      <c r="D879" s="1692"/>
      <c r="E879" s="1628"/>
      <c r="F879" s="1628"/>
      <c r="G879" s="1628"/>
    </row>
    <row r="880" spans="1:7" ht="12.75" customHeight="1">
      <c r="A880" s="1704"/>
      <c r="B880" s="1703" t="s">
        <v>2596</v>
      </c>
      <c r="C880" s="557"/>
      <c r="D880" s="1761" t="s">
        <v>2306</v>
      </c>
      <c r="E880" s="1761"/>
      <c r="F880" s="1761"/>
      <c r="G880" s="1628"/>
    </row>
    <row r="881" spans="1:7" ht="12.75" customHeight="1">
      <c r="A881" s="1704"/>
      <c r="B881" s="1704"/>
      <c r="C881" s="557"/>
      <c r="D881" s="1761"/>
      <c r="E881" s="1761"/>
      <c r="F881" s="1761"/>
      <c r="G881" s="1628"/>
    </row>
    <row r="882" spans="1:7" ht="12.75" customHeight="1">
      <c r="A882" s="1704"/>
      <c r="B882" s="1704"/>
      <c r="C882" s="557"/>
      <c r="D882" s="1761"/>
      <c r="E882" s="1761"/>
      <c r="F882" s="1761"/>
      <c r="G882" s="1628"/>
    </row>
    <row r="883" spans="1:7" ht="12.75" customHeight="1">
      <c r="A883" s="1704"/>
      <c r="B883" s="1704"/>
      <c r="C883" s="557"/>
      <c r="D883" s="1761"/>
      <c r="E883" s="1761"/>
      <c r="F883" s="1761"/>
      <c r="G883" s="1628"/>
    </row>
    <row r="884" spans="1:7" ht="12.75" customHeight="1">
      <c r="A884" s="1692"/>
      <c r="B884" s="1692"/>
      <c r="C884" s="1629"/>
      <c r="D884" s="1628"/>
      <c r="E884" s="1628"/>
      <c r="F884" s="1628"/>
      <c r="G884" s="1628"/>
    </row>
    <row r="885" spans="1:7" ht="12.75" customHeight="1">
      <c r="A885" s="1883" t="s">
        <v>2388</v>
      </c>
      <c r="B885" s="1883"/>
      <c r="C885" s="1883"/>
      <c r="D885" s="1883"/>
      <c r="E885" s="1883"/>
      <c r="F885" s="1883"/>
      <c r="G885" s="1883"/>
    </row>
    <row r="886" spans="1:7" ht="12.75" customHeight="1">
      <c r="A886" s="1694"/>
      <c r="B886" s="1694"/>
      <c r="C886" s="1694"/>
      <c r="D886" s="1694"/>
      <c r="E886" s="1694"/>
      <c r="F886" s="1694"/>
      <c r="G886" s="1694"/>
    </row>
    <row r="887" spans="1:7" ht="12.75" customHeight="1">
      <c r="A887" s="1694"/>
      <c r="B887" s="1694"/>
      <c r="C887" s="1694"/>
      <c r="D887" s="1889" t="s">
        <v>2394</v>
      </c>
      <c r="E887" s="1889"/>
      <c r="F887" s="1889"/>
      <c r="G887" s="1694"/>
    </row>
    <row r="888" spans="1:7" ht="12.75" customHeight="1">
      <c r="A888" s="1694"/>
      <c r="B888" s="1694"/>
      <c r="C888" s="1694"/>
      <c r="D888" s="1719"/>
      <c r="E888" s="1719"/>
      <c r="F888" s="1719"/>
      <c r="G888" s="1694"/>
    </row>
    <row r="889" spans="1:7" ht="12.75" customHeight="1">
      <c r="A889" s="1694"/>
      <c r="B889" s="1703" t="s">
        <v>2595</v>
      </c>
      <c r="C889" s="1694"/>
      <c r="D889" s="1708" t="s">
        <v>2395</v>
      </c>
      <c r="E889" s="1719"/>
      <c r="F889" s="1719"/>
      <c r="G889" s="1694"/>
    </row>
    <row r="890" spans="1:7" ht="12.75" customHeight="1">
      <c r="A890" s="1694"/>
      <c r="B890" s="1694"/>
      <c r="C890" s="1694"/>
      <c r="D890" s="1719"/>
      <c r="E890" s="1719"/>
      <c r="F890" s="1719"/>
      <c r="G890" s="1694"/>
    </row>
    <row r="891" spans="1:7" ht="12.75" customHeight="1">
      <c r="A891" s="557"/>
      <c r="B891" s="557"/>
      <c r="C891" s="1629"/>
      <c r="D891" s="1889" t="s">
        <v>2389</v>
      </c>
      <c r="E891" s="1889"/>
      <c r="F891" s="1889"/>
      <c r="G891" s="1628"/>
    </row>
    <row r="892" spans="1:7" ht="12.75" customHeight="1">
      <c r="A892" s="1631"/>
      <c r="B892" s="1631"/>
      <c r="C892" s="1631"/>
      <c r="D892" s="1774" t="s">
        <v>2312</v>
      </c>
      <c r="E892" s="1774"/>
      <c r="F892" s="1774"/>
      <c r="G892" s="1628"/>
    </row>
    <row r="893" spans="1:7" ht="12.75" customHeight="1">
      <c r="A893" s="1631"/>
      <c r="B893" s="1631"/>
      <c r="C893" s="1631"/>
      <c r="D893" s="6"/>
      <c r="E893" s="6"/>
      <c r="F893" s="1628"/>
      <c r="G893" s="1628"/>
    </row>
    <row r="894" spans="1:7" ht="12.75" customHeight="1">
      <c r="A894" s="1704"/>
      <c r="B894" s="1703" t="s">
        <v>2595</v>
      </c>
      <c r="C894" s="314"/>
      <c r="D894" s="1770" t="s">
        <v>2313</v>
      </c>
      <c r="E894" s="1770"/>
      <c r="F894" s="1770"/>
      <c r="G894" s="1628"/>
    </row>
    <row r="895" spans="1:7" ht="12.75" customHeight="1">
      <c r="A895" s="1704"/>
      <c r="B895" s="1704"/>
      <c r="C895" s="314"/>
      <c r="D895" s="1770"/>
      <c r="E895" s="1770"/>
      <c r="F895" s="1770"/>
      <c r="G895" s="1628"/>
    </row>
    <row r="896" spans="1:7" ht="12.75" customHeight="1">
      <c r="A896" s="1704"/>
      <c r="B896" s="1704"/>
      <c r="C896" s="314"/>
      <c r="D896" s="1770"/>
      <c r="E896" s="1770"/>
      <c r="F896" s="1770"/>
      <c r="G896" s="1628"/>
    </row>
    <row r="897" spans="1:7" ht="12.75" customHeight="1">
      <c r="A897" s="1704"/>
      <c r="B897" s="1704"/>
      <c r="C897" s="314"/>
      <c r="D897" s="1770"/>
      <c r="E897" s="1770"/>
      <c r="F897" s="1770"/>
      <c r="G897" s="1628"/>
    </row>
    <row r="898" spans="1:7" ht="12.75" customHeight="1">
      <c r="A898" s="314"/>
      <c r="B898" s="314"/>
      <c r="C898" s="314"/>
      <c r="D898" s="1770"/>
      <c r="E898" s="1770"/>
      <c r="F898" s="1770"/>
      <c r="G898" s="1628"/>
    </row>
    <row r="899" spans="1:7" ht="12.75" customHeight="1">
      <c r="A899" s="314"/>
      <c r="B899" s="314"/>
      <c r="C899" s="314"/>
      <c r="D899" s="1770"/>
      <c r="E899" s="1770"/>
      <c r="F899" s="1770"/>
      <c r="G899" s="1628"/>
    </row>
    <row r="900" spans="1:7" ht="12.75" customHeight="1">
      <c r="A900" s="314"/>
      <c r="B900" s="314"/>
      <c r="C900" s="314"/>
      <c r="D900" s="1770"/>
      <c r="E900" s="1770"/>
      <c r="F900" s="1770"/>
      <c r="G900" s="1628"/>
    </row>
    <row r="901" spans="1:7" ht="12.75" customHeight="1">
      <c r="A901" s="314"/>
      <c r="B901" s="314"/>
      <c r="C901" s="314"/>
      <c r="D901" s="5"/>
      <c r="E901" s="6"/>
      <c r="F901" s="1628"/>
      <c r="G901" s="1628"/>
    </row>
    <row r="902" spans="1:7" ht="12.75" customHeight="1">
      <c r="A902" s="1718"/>
      <c r="B902" s="1703" t="s">
        <v>2596</v>
      </c>
      <c r="C902" s="1717"/>
      <c r="D902" s="1770" t="s">
        <v>2314</v>
      </c>
      <c r="E902" s="1770"/>
      <c r="F902" s="1770"/>
      <c r="G902" s="1716"/>
    </row>
    <row r="903" spans="1:7" ht="12.75" customHeight="1">
      <c r="A903" s="1718"/>
      <c r="B903" s="1718"/>
      <c r="C903" s="1717"/>
      <c r="D903" s="1770"/>
      <c r="E903" s="1770"/>
      <c r="F903" s="1770"/>
      <c r="G903" s="1716"/>
    </row>
    <row r="904" spans="1:7" ht="12.75" customHeight="1">
      <c r="A904" s="1718"/>
      <c r="B904" s="1718"/>
      <c r="C904" s="1717"/>
      <c r="D904" s="1770"/>
      <c r="E904" s="1770"/>
      <c r="F904" s="1770"/>
      <c r="G904" s="1716"/>
    </row>
    <row r="905" spans="1:7" ht="12.75" customHeight="1">
      <c r="A905" s="1718"/>
      <c r="B905" s="1718"/>
      <c r="C905" s="1717"/>
      <c r="D905" s="1770"/>
      <c r="E905" s="1770"/>
      <c r="F905" s="1770"/>
      <c r="G905" s="1716"/>
    </row>
    <row r="906" spans="1:7" ht="12.75" customHeight="1">
      <c r="A906" s="1718"/>
      <c r="B906" s="1718"/>
      <c r="C906" s="1717"/>
      <c r="D906" s="1770"/>
      <c r="E906" s="1770"/>
      <c r="F906" s="1770"/>
      <c r="G906" s="1716"/>
    </row>
    <row r="907" spans="1:7" ht="12.75" customHeight="1">
      <c r="A907" s="1718"/>
      <c r="B907" s="1718"/>
      <c r="C907" s="1717"/>
      <c r="D907" s="1770"/>
      <c r="E907" s="1770"/>
      <c r="F907" s="1770"/>
      <c r="G907" s="1716"/>
    </row>
    <row r="908" spans="1:7" ht="12.75" customHeight="1">
      <c r="A908" s="1718"/>
      <c r="B908" s="1718"/>
      <c r="C908" s="1717"/>
      <c r="D908" s="1770"/>
      <c r="E908" s="1770"/>
      <c r="F908" s="1770"/>
      <c r="G908" s="1716"/>
    </row>
    <row r="909" spans="1:7" ht="12.75" customHeight="1">
      <c r="A909" s="1718"/>
      <c r="B909" s="1718"/>
      <c r="C909" s="1717"/>
      <c r="D909" s="1770"/>
      <c r="E909" s="1770"/>
      <c r="F909" s="1770"/>
      <c r="G909" s="1716"/>
    </row>
    <row r="910" spans="1:7" ht="12.75" customHeight="1">
      <c r="A910" s="1718"/>
      <c r="B910" s="1718"/>
      <c r="C910" s="1717"/>
      <c r="D910" s="1770"/>
      <c r="E910" s="1770"/>
      <c r="F910" s="1770"/>
      <c r="G910" s="1716"/>
    </row>
    <row r="911" spans="1:7" ht="12.75" customHeight="1">
      <c r="A911" s="314"/>
      <c r="B911" s="314"/>
      <c r="C911" s="314"/>
      <c r="D911" s="5"/>
      <c r="E911" s="6"/>
      <c r="F911" s="1628"/>
      <c r="G911" s="1628"/>
    </row>
    <row r="912" spans="1:7" ht="12.75" customHeight="1">
      <c r="A912" s="1704"/>
      <c r="B912" s="1703" t="s">
        <v>2596</v>
      </c>
      <c r="C912" s="314"/>
      <c r="D912" s="1890" t="s">
        <v>2315</v>
      </c>
      <c r="E912" s="1890"/>
      <c r="F912" s="1890"/>
      <c r="G912" s="1628"/>
    </row>
    <row r="913" spans="1:7" ht="12.75" customHeight="1">
      <c r="A913" s="1704"/>
      <c r="B913" s="1704"/>
      <c r="C913" s="314"/>
      <c r="D913" s="1890"/>
      <c r="E913" s="1890"/>
      <c r="F913" s="1890"/>
      <c r="G913" s="1628"/>
    </row>
    <row r="914" spans="1:7" ht="12.75" customHeight="1">
      <c r="A914" s="1704"/>
      <c r="B914" s="1704"/>
      <c r="C914" s="314"/>
      <c r="D914" s="1890"/>
      <c r="E914" s="1890"/>
      <c r="F914" s="1890"/>
      <c r="G914" s="1628"/>
    </row>
    <row r="915" spans="1:7" ht="12.75" customHeight="1">
      <c r="A915" s="1704"/>
      <c r="B915" s="1704"/>
      <c r="C915" s="314"/>
      <c r="D915" s="1890"/>
      <c r="E915" s="1890"/>
      <c r="F915" s="1890"/>
      <c r="G915" s="1628"/>
    </row>
    <row r="916" spans="1:7" ht="12.75" customHeight="1">
      <c r="A916" s="1704"/>
      <c r="B916" s="1704"/>
      <c r="C916" s="314"/>
      <c r="D916" s="1890"/>
      <c r="E916" s="1890"/>
      <c r="F916" s="1890"/>
      <c r="G916" s="1628"/>
    </row>
    <row r="917" spans="1:7" ht="12.75" customHeight="1">
      <c r="A917" s="1704"/>
      <c r="B917" s="1704"/>
      <c r="C917" s="314"/>
      <c r="D917" s="1890"/>
      <c r="E917" s="1890"/>
      <c r="F917" s="1890"/>
      <c r="G917" s="1628"/>
    </row>
    <row r="918" spans="1:7" ht="12.75" customHeight="1">
      <c r="A918" s="1704"/>
      <c r="B918" s="1704"/>
      <c r="C918" s="314"/>
      <c r="D918" s="1890"/>
      <c r="E918" s="1890"/>
      <c r="F918" s="1890"/>
      <c r="G918" s="1628"/>
    </row>
    <row r="919" spans="1:7" ht="12.75" customHeight="1">
      <c r="A919" s="1704"/>
      <c r="B919" s="1704"/>
      <c r="C919" s="314"/>
      <c r="D919" s="1715"/>
      <c r="E919" s="6"/>
      <c r="F919" s="1628"/>
      <c r="G919" s="1628"/>
    </row>
    <row r="920" spans="1:7" ht="12.75" customHeight="1">
      <c r="A920" s="1704"/>
      <c r="B920" s="1703" t="s">
        <v>2596</v>
      </c>
      <c r="C920" s="314"/>
      <c r="D920" s="1770" t="s">
        <v>2316</v>
      </c>
      <c r="E920" s="1770"/>
      <c r="F920" s="1770"/>
      <c r="G920" s="1628"/>
    </row>
    <row r="921" spans="1:7" ht="12.75" customHeight="1">
      <c r="A921" s="1704"/>
      <c r="B921" s="1704"/>
      <c r="C921" s="314"/>
      <c r="D921" s="1770"/>
      <c r="E921" s="1770"/>
      <c r="F921" s="1770"/>
      <c r="G921" s="1628"/>
    </row>
    <row r="922" spans="1:7" ht="12.75" customHeight="1">
      <c r="A922" s="1704"/>
      <c r="B922" s="1704"/>
      <c r="C922" s="314"/>
      <c r="D922" s="1770"/>
      <c r="E922" s="1770"/>
      <c r="F922" s="1770"/>
      <c r="G922" s="1628"/>
    </row>
    <row r="923" spans="1:7" ht="12.75" customHeight="1">
      <c r="A923" s="1704"/>
      <c r="B923" s="1704"/>
      <c r="C923" s="314"/>
      <c r="D923" s="1770"/>
      <c r="E923" s="1770"/>
      <c r="F923" s="1770"/>
      <c r="G923" s="1628"/>
    </row>
    <row r="924" spans="1:7" ht="12.75" customHeight="1">
      <c r="A924" s="1704"/>
      <c r="B924" s="1704"/>
      <c r="C924" s="314"/>
      <c r="D924" s="5"/>
      <c r="E924" s="6"/>
      <c r="F924" s="1628"/>
      <c r="G924" s="1628"/>
    </row>
    <row r="925" spans="1:7" ht="12.75" customHeight="1">
      <c r="A925" s="347"/>
      <c r="B925" s="347"/>
      <c r="C925" s="1629"/>
      <c r="D925" s="1761" t="s">
        <v>2317</v>
      </c>
      <c r="E925" s="1761"/>
      <c r="F925" s="1761"/>
      <c r="G925" s="1628"/>
    </row>
    <row r="926" spans="1:7" ht="12.75" customHeight="1">
      <c r="A926" s="1629"/>
      <c r="B926" s="1629"/>
      <c r="C926" s="1629"/>
      <c r="D926" s="1761"/>
      <c r="E926" s="1761"/>
      <c r="F926" s="1761"/>
      <c r="G926" s="1628"/>
    </row>
    <row r="927" spans="1:7" ht="12.75" customHeight="1">
      <c r="A927" s="1629"/>
      <c r="B927" s="1629"/>
      <c r="C927" s="1629"/>
      <c r="D927" s="5"/>
      <c r="E927" s="1628"/>
      <c r="F927" s="1628"/>
      <c r="G927" s="1628"/>
    </row>
    <row r="928" spans="1:7" ht="12.75" customHeight="1">
      <c r="A928" s="1704"/>
      <c r="B928" s="1703" t="s">
        <v>2595</v>
      </c>
      <c r="C928" s="557"/>
      <c r="D928" s="1761" t="s">
        <v>2318</v>
      </c>
      <c r="E928" s="1761"/>
      <c r="F928" s="1761"/>
      <c r="G928" s="6"/>
    </row>
    <row r="929" spans="1:7" ht="12.75" customHeight="1">
      <c r="A929" s="557"/>
      <c r="B929" s="557"/>
      <c r="C929" s="557"/>
      <c r="D929" s="1761"/>
      <c r="E929" s="1761"/>
      <c r="F929" s="1761"/>
      <c r="G929" s="6"/>
    </row>
    <row r="930" spans="1:7" ht="12.75" customHeight="1">
      <c r="A930" s="1629"/>
      <c r="B930" s="1629"/>
      <c r="C930" s="1629"/>
      <c r="D930" s="5"/>
      <c r="E930" s="1628"/>
      <c r="F930" s="1628"/>
      <c r="G930" s="1628"/>
    </row>
    <row r="931" spans="1:7" ht="12.75" customHeight="1">
      <c r="A931" s="314"/>
      <c r="B931" s="314"/>
      <c r="C931" s="314"/>
      <c r="D931" s="1889" t="s">
        <v>2319</v>
      </c>
      <c r="E931" s="1889"/>
      <c r="F931" s="1889"/>
      <c r="G931" s="1628"/>
    </row>
    <row r="932" spans="1:7" ht="12.75" customHeight="1">
      <c r="A932" s="314"/>
      <c r="B932" s="314"/>
      <c r="C932" s="314"/>
      <c r="D932" s="1693"/>
      <c r="E932" s="6"/>
      <c r="F932" s="1628"/>
      <c r="G932" s="1628"/>
    </row>
    <row r="933" spans="1:7" ht="12.75" customHeight="1">
      <c r="A933" s="1704"/>
      <c r="B933" s="1703" t="s">
        <v>2596</v>
      </c>
      <c r="C933" s="1629"/>
      <c r="D933" s="1865" t="s">
        <v>2320</v>
      </c>
      <c r="E933" s="1865"/>
      <c r="F933" s="1865"/>
      <c r="G933" s="1628"/>
    </row>
    <row r="934" spans="1:7" ht="12.75" customHeight="1">
      <c r="A934" s="1629"/>
      <c r="B934" s="1629"/>
      <c r="C934" s="1629"/>
      <c r="D934" s="1865"/>
      <c r="E934" s="1865"/>
      <c r="F934" s="1865"/>
      <c r="G934" s="1628"/>
    </row>
    <row r="935" spans="1:7" ht="12.75" customHeight="1">
      <c r="A935" s="1629"/>
      <c r="B935" s="1629"/>
      <c r="C935" s="1629"/>
      <c r="D935" s="1865"/>
      <c r="E935" s="1865"/>
      <c r="F935" s="1865"/>
      <c r="G935" s="1628"/>
    </row>
    <row r="936" spans="1:7" ht="12.75" customHeight="1">
      <c r="A936" s="1629"/>
      <c r="B936" s="1629"/>
      <c r="C936" s="1629"/>
      <c r="D936" s="1865"/>
      <c r="E936" s="1865"/>
      <c r="F936" s="1865"/>
      <c r="G936" s="1628"/>
    </row>
    <row r="937" spans="1:7" ht="12.75" customHeight="1">
      <c r="A937" s="1629"/>
      <c r="B937" s="1629"/>
      <c r="C937" s="1629"/>
      <c r="D937" s="1865"/>
      <c r="E937" s="1865"/>
      <c r="F937" s="1865"/>
      <c r="G937" s="1628"/>
    </row>
    <row r="938" spans="1:7" ht="12.75" customHeight="1">
      <c r="A938" s="1629"/>
      <c r="B938" s="1629"/>
      <c r="C938" s="1629"/>
      <c r="D938" s="1865"/>
      <c r="E938" s="1865"/>
      <c r="F938" s="1865"/>
      <c r="G938" s="1628"/>
    </row>
    <row r="939" spans="1:7" ht="12.75" customHeight="1">
      <c r="A939" s="1629"/>
      <c r="B939" s="1629"/>
      <c r="C939" s="1629"/>
      <c r="D939" s="1714"/>
      <c r="E939" s="1714"/>
      <c r="F939" s="1714"/>
      <c r="G939" s="1628"/>
    </row>
    <row r="940" spans="1:7" ht="12.75" customHeight="1">
      <c r="A940" s="1704"/>
      <c r="B940" s="1703" t="s">
        <v>2596</v>
      </c>
      <c r="C940" s="1629"/>
      <c r="D940" s="1865" t="s">
        <v>2321</v>
      </c>
      <c r="E940" s="1865"/>
      <c r="F940" s="1865"/>
      <c r="G940" s="1628"/>
    </row>
    <row r="941" spans="1:7" ht="12.75" customHeight="1">
      <c r="A941" s="1629"/>
      <c r="B941" s="1629"/>
      <c r="C941" s="1629"/>
      <c r="D941" s="1865"/>
      <c r="E941" s="1865"/>
      <c r="F941" s="1865"/>
      <c r="G941" s="1628"/>
    </row>
    <row r="942" spans="1:7" ht="12.75" customHeight="1">
      <c r="A942" s="1629"/>
      <c r="B942" s="1629"/>
      <c r="C942" s="1629"/>
      <c r="D942" s="1865"/>
      <c r="E942" s="1865"/>
      <c r="F942" s="1865"/>
      <c r="G942" s="1628"/>
    </row>
    <row r="943" spans="1:7" ht="12.75" customHeight="1">
      <c r="A943" s="1629"/>
      <c r="B943" s="1629"/>
      <c r="C943" s="1629"/>
      <c r="D943" s="1865"/>
      <c r="E943" s="1865"/>
      <c r="F943" s="1865"/>
      <c r="G943" s="1628"/>
    </row>
    <row r="944" spans="1:7" ht="12.75" customHeight="1">
      <c r="A944" s="1629"/>
      <c r="B944" s="1629"/>
      <c r="C944" s="1629"/>
      <c r="D944" s="1865"/>
      <c r="E944" s="1865"/>
      <c r="F944" s="1865"/>
      <c r="G944" s="1628"/>
    </row>
    <row r="945" spans="1:7" ht="12.75" customHeight="1">
      <c r="A945" s="1629"/>
      <c r="B945" s="1629"/>
      <c r="C945" s="1629"/>
      <c r="D945" s="1713"/>
      <c r="E945" s="1628"/>
      <c r="F945" s="1628"/>
      <c r="G945" s="1628"/>
    </row>
    <row r="946" spans="1:7" ht="12.75" customHeight="1">
      <c r="A946" s="1704"/>
      <c r="B946" s="1703" t="s">
        <v>2596</v>
      </c>
      <c r="C946" s="1629"/>
      <c r="D946" s="1865" t="s">
        <v>2322</v>
      </c>
      <c r="E946" s="1865"/>
      <c r="F946" s="1865"/>
      <c r="G946" s="1628"/>
    </row>
    <row r="947" spans="1:7" ht="12.75" customHeight="1">
      <c r="A947" s="1629"/>
      <c r="B947" s="1629"/>
      <c r="C947" s="1629"/>
      <c r="D947" s="1865"/>
      <c r="E947" s="1865"/>
      <c r="F947" s="1865"/>
      <c r="G947" s="1628"/>
    </row>
    <row r="948" spans="1:7" ht="12.75" customHeight="1">
      <c r="A948" s="1629"/>
      <c r="B948" s="1629"/>
      <c r="C948" s="1629"/>
      <c r="D948" s="1865"/>
      <c r="E948" s="1865"/>
      <c r="F948" s="1865"/>
      <c r="G948" s="1628"/>
    </row>
    <row r="949" spans="1:7" ht="12.75" customHeight="1">
      <c r="A949" s="1629"/>
      <c r="B949" s="1629"/>
      <c r="C949" s="1629"/>
      <c r="D949" s="1865"/>
      <c r="E949" s="1865"/>
      <c r="F949" s="1865"/>
      <c r="G949" s="1628"/>
    </row>
    <row r="950" spans="1:7" ht="12.75" customHeight="1">
      <c r="A950" s="1629"/>
      <c r="B950" s="1629"/>
      <c r="C950" s="1629"/>
      <c r="D950" s="1865"/>
      <c r="E950" s="1865"/>
      <c r="F950" s="1865"/>
      <c r="G950" s="1628"/>
    </row>
    <row r="951" spans="1:7" ht="12.75" customHeight="1">
      <c r="A951" s="1629"/>
      <c r="B951" s="1629"/>
      <c r="C951" s="1629"/>
      <c r="D951" s="1713"/>
      <c r="E951" s="1628"/>
      <c r="F951" s="1628"/>
      <c r="G951" s="1628"/>
    </row>
    <row r="952" spans="1:7" ht="12.75" customHeight="1">
      <c r="A952" s="1704"/>
      <c r="B952" s="1703" t="s">
        <v>2595</v>
      </c>
      <c r="C952" s="1629"/>
      <c r="D952" s="1865" t="s">
        <v>2323</v>
      </c>
      <c r="E952" s="1865"/>
      <c r="F952" s="1865"/>
      <c r="G952" s="1628"/>
    </row>
    <row r="953" spans="1:7" ht="12.75" customHeight="1">
      <c r="A953" s="1629"/>
      <c r="B953" s="1629"/>
      <c r="C953" s="1629"/>
      <c r="D953" s="1865"/>
      <c r="E953" s="1865"/>
      <c r="F953" s="1865"/>
      <c r="G953" s="1628"/>
    </row>
    <row r="954" spans="1:7" ht="12.75" customHeight="1">
      <c r="A954" s="1629"/>
      <c r="B954" s="1629"/>
      <c r="C954" s="1629"/>
      <c r="D954" s="1865"/>
      <c r="E954" s="1865"/>
      <c r="F954" s="1865"/>
      <c r="G954" s="1628"/>
    </row>
    <row r="955" spans="1:7" ht="12.75" customHeight="1">
      <c r="A955" s="1629"/>
      <c r="B955" s="1629"/>
      <c r="C955" s="1629"/>
      <c r="D955" s="1714"/>
      <c r="E955" s="1714"/>
      <c r="F955" s="1714"/>
      <c r="G955" s="1628"/>
    </row>
    <row r="956" spans="1:7" ht="12.75" customHeight="1">
      <c r="A956" s="1704"/>
      <c r="B956" s="1703" t="s">
        <v>2596</v>
      </c>
      <c r="C956" s="1629"/>
      <c r="D956" s="1865" t="s">
        <v>2324</v>
      </c>
      <c r="E956" s="1865"/>
      <c r="F956" s="1865"/>
      <c r="G956" s="1628"/>
    </row>
    <row r="957" spans="1:7" ht="12.75" customHeight="1">
      <c r="A957" s="1629"/>
      <c r="B957" s="1629"/>
      <c r="C957" s="1629"/>
      <c r="D957" s="1865"/>
      <c r="E957" s="1865"/>
      <c r="F957" s="1865"/>
      <c r="G957" s="1628"/>
    </row>
    <row r="958" spans="1:7" ht="12.75" customHeight="1">
      <c r="A958" s="1629"/>
      <c r="B958" s="1629"/>
      <c r="C958" s="1629"/>
      <c r="D958" s="1713"/>
      <c r="E958" s="1628"/>
      <c r="F958" s="1628"/>
      <c r="G958" s="1628"/>
    </row>
    <row r="959" spans="1:7" ht="12.75" customHeight="1">
      <c r="A959" s="1629"/>
      <c r="B959" s="1703" t="s">
        <v>2596</v>
      </c>
      <c r="C959" s="1629"/>
      <c r="D959" s="1761" t="s">
        <v>2325</v>
      </c>
      <c r="E959" s="1761"/>
      <c r="F959" s="1761"/>
      <c r="G959" s="1628"/>
    </row>
    <row r="960" spans="1:7" ht="12.75" customHeight="1">
      <c r="A960" s="1629"/>
      <c r="B960" s="1629"/>
      <c r="C960" s="1629"/>
      <c r="D960" s="1761"/>
      <c r="E960" s="1761"/>
      <c r="F960" s="1761"/>
      <c r="G960" s="1628"/>
    </row>
    <row r="961" spans="1:7" ht="12.75" customHeight="1">
      <c r="A961" s="1629"/>
      <c r="B961" s="1629"/>
      <c r="C961" s="1629"/>
      <c r="D961" s="1628"/>
      <c r="E961" s="1628"/>
      <c r="F961" s="1628"/>
      <c r="G961" s="1628"/>
    </row>
    <row r="962" spans="1:7" ht="12.75" customHeight="1">
      <c r="A962" s="1629"/>
      <c r="B962" s="1703" t="s">
        <v>2596</v>
      </c>
      <c r="C962" s="1629"/>
      <c r="D962" s="1882" t="s">
        <v>2326</v>
      </c>
      <c r="E962" s="1882"/>
      <c r="F962" s="1882"/>
      <c r="G962" s="1628"/>
    </row>
    <row r="963" spans="1:7" ht="12.75" customHeight="1">
      <c r="A963" s="1629"/>
      <c r="B963" s="1629"/>
      <c r="C963" s="1629"/>
      <c r="D963" s="1882"/>
      <c r="E963" s="1882"/>
      <c r="F963" s="1882"/>
      <c r="G963" s="1628"/>
    </row>
    <row r="964" spans="1:7" ht="12.75" customHeight="1">
      <c r="A964" s="1629"/>
      <c r="B964" s="1629"/>
      <c r="C964" s="1629"/>
      <c r="D964" s="1882"/>
      <c r="E964" s="1882"/>
      <c r="F964" s="1882"/>
      <c r="G964" s="1628"/>
    </row>
    <row r="965" spans="1:7" ht="12.75" customHeight="1">
      <c r="A965" s="1629"/>
      <c r="B965" s="1629"/>
      <c r="C965" s="1629"/>
      <c r="D965" s="1882"/>
      <c r="E965" s="1882"/>
      <c r="F965" s="1882"/>
      <c r="G965" s="1628"/>
    </row>
    <row r="966" spans="1:7" ht="12.75" customHeight="1">
      <c r="A966" s="1629"/>
      <c r="B966" s="1629"/>
      <c r="C966" s="1629"/>
      <c r="D966" s="1692"/>
      <c r="E966" s="1628"/>
      <c r="F966" s="1628"/>
      <c r="G966" s="1628"/>
    </row>
    <row r="967" spans="1:7" ht="12.75" customHeight="1">
      <c r="A967" s="1629"/>
      <c r="B967" s="1703" t="s">
        <v>2596</v>
      </c>
      <c r="C967" s="1629"/>
      <c r="D967" s="1774" t="s">
        <v>2327</v>
      </c>
      <c r="E967" s="1774"/>
      <c r="F967" s="1774"/>
      <c r="G967" s="1628"/>
    </row>
    <row r="968" spans="1:7" ht="12.75" customHeight="1">
      <c r="A968" s="1629"/>
      <c r="B968" s="1629"/>
      <c r="C968" s="1629"/>
      <c r="D968" s="1692"/>
      <c r="E968" s="1628"/>
      <c r="F968" s="1628"/>
      <c r="G968" s="1628"/>
    </row>
    <row r="969" spans="1:7" ht="12.75" customHeight="1">
      <c r="A969" s="1629"/>
      <c r="B969" s="1703" t="s">
        <v>2596</v>
      </c>
      <c r="C969" s="1629"/>
      <c r="D969" s="1774" t="s">
        <v>2328</v>
      </c>
      <c r="E969" s="1774"/>
      <c r="F969" s="1774"/>
      <c r="G969" s="1628"/>
    </row>
    <row r="970" spans="1:7" ht="12.75" customHeight="1">
      <c r="A970" s="1629"/>
      <c r="B970" s="1629"/>
      <c r="C970" s="1629"/>
      <c r="D970" s="1628"/>
      <c r="E970" s="1628"/>
      <c r="F970" s="1628"/>
      <c r="G970" s="1628"/>
    </row>
    <row r="971" spans="1:7" ht="12.75" customHeight="1">
      <c r="A971" s="1629"/>
      <c r="B971" s="557"/>
      <c r="C971" s="1629"/>
      <c r="D971" s="1784" t="s">
        <v>2329</v>
      </c>
      <c r="E971" s="1784"/>
      <c r="F971" s="1784"/>
      <c r="G971" s="1628"/>
    </row>
    <row r="972" spans="1:7" ht="12.75" customHeight="1">
      <c r="A972" s="1629"/>
      <c r="B972" s="557"/>
      <c r="C972" s="1629"/>
      <c r="D972" s="1693"/>
      <c r="E972" s="1628"/>
      <c r="F972" s="1628"/>
      <c r="G972" s="1628"/>
    </row>
    <row r="973" spans="1:7" ht="12.75" customHeight="1">
      <c r="A973" s="1704"/>
      <c r="B973" s="1703" t="s">
        <v>1163</v>
      </c>
      <c r="C973" s="1629"/>
      <c r="D973" s="1761" t="s">
        <v>2330</v>
      </c>
      <c r="E973" s="1761"/>
      <c r="F973" s="1761"/>
      <c r="G973" s="1628"/>
    </row>
    <row r="974" spans="1:7" ht="12.75" customHeight="1">
      <c r="A974" s="1629"/>
      <c r="B974" s="1629"/>
      <c r="C974" s="1629"/>
      <c r="D974" s="1761"/>
      <c r="E974" s="1761"/>
      <c r="F974" s="1761"/>
      <c r="G974" s="1628"/>
    </row>
    <row r="975" spans="1:7" ht="12.75" customHeight="1">
      <c r="A975" s="1629"/>
      <c r="B975" s="1629"/>
      <c r="C975" s="1629"/>
      <c r="D975" s="1761"/>
      <c r="E975" s="1761"/>
      <c r="F975" s="1761"/>
      <c r="G975" s="1628"/>
    </row>
    <row r="976" spans="1:7" ht="12.75" customHeight="1">
      <c r="A976" s="1629"/>
      <c r="B976" s="1629"/>
      <c r="C976" s="1629"/>
      <c r="D976" s="1761"/>
      <c r="E976" s="1761"/>
      <c r="F976" s="1761"/>
      <c r="G976" s="1628"/>
    </row>
    <row r="977" spans="1:7" ht="12.75" customHeight="1">
      <c r="A977" s="1629"/>
      <c r="B977" s="1629"/>
      <c r="C977" s="1629"/>
      <c r="D977" s="1761"/>
      <c r="E977" s="1761"/>
      <c r="F977" s="1761"/>
      <c r="G977" s="1628"/>
    </row>
    <row r="978" spans="1:7" ht="12.75" customHeight="1">
      <c r="A978" s="1629"/>
      <c r="B978" s="1629"/>
      <c r="C978" s="1629"/>
      <c r="D978" s="6"/>
      <c r="E978" s="6"/>
      <c r="F978" s="6"/>
      <c r="G978" s="1628"/>
    </row>
    <row r="979" spans="1:7" ht="12.75" customHeight="1">
      <c r="A979" s="1704"/>
      <c r="B979" s="1703" t="s">
        <v>2596</v>
      </c>
      <c r="C979" s="1629"/>
      <c r="D979" s="1761" t="s">
        <v>2331</v>
      </c>
      <c r="E979" s="1761"/>
      <c r="F979" s="1761"/>
      <c r="G979" s="1628"/>
    </row>
    <row r="980" spans="1:7" ht="12.75" customHeight="1">
      <c r="A980" s="1629"/>
      <c r="B980" s="1629"/>
      <c r="C980" s="1629"/>
      <c r="D980" s="1761"/>
      <c r="E980" s="1761"/>
      <c r="F980" s="1761"/>
      <c r="G980" s="1628"/>
    </row>
    <row r="981" spans="1:7" ht="12.75" customHeight="1">
      <c r="A981" s="1629"/>
      <c r="B981" s="1629"/>
      <c r="C981" s="1629"/>
      <c r="D981" s="1761"/>
      <c r="E981" s="1761"/>
      <c r="F981" s="1761"/>
      <c r="G981" s="1628"/>
    </row>
    <row r="982" spans="1:7" ht="12.75" customHeight="1">
      <c r="A982" s="1629"/>
      <c r="B982" s="1629"/>
      <c r="C982" s="1629"/>
      <c r="D982" s="1761"/>
      <c r="E982" s="1761"/>
      <c r="F982" s="1761"/>
      <c r="G982" s="1628"/>
    </row>
    <row r="983" spans="1:7" ht="12.75" customHeight="1">
      <c r="A983" s="1629"/>
      <c r="B983" s="1629"/>
      <c r="C983" s="1629"/>
      <c r="D983" s="1761"/>
      <c r="E983" s="1761"/>
      <c r="F983" s="1761"/>
      <c r="G983" s="1628"/>
    </row>
    <row r="984" spans="1:7" ht="12.75" customHeight="1">
      <c r="A984" s="1629"/>
      <c r="B984" s="1629"/>
      <c r="C984" s="1629"/>
      <c r="D984" s="1628"/>
      <c r="E984" s="1628"/>
      <c r="F984" s="1628"/>
      <c r="G984" s="1628"/>
    </row>
    <row r="985" spans="1:7" ht="12.75" customHeight="1">
      <c r="A985" s="1629"/>
      <c r="B985" s="1629"/>
      <c r="C985" s="1629"/>
      <c r="D985" s="1784" t="s">
        <v>2332</v>
      </c>
      <c r="E985" s="1784"/>
      <c r="F985" s="1784"/>
      <c r="G985" s="1628"/>
    </row>
    <row r="986" spans="1:7" ht="12.75" customHeight="1">
      <c r="A986" s="1629"/>
      <c r="B986" s="1629"/>
      <c r="C986" s="1629"/>
      <c r="D986" s="1693"/>
      <c r="E986" s="1628"/>
      <c r="F986" s="1628"/>
      <c r="G986" s="1628"/>
    </row>
    <row r="987" spans="1:7" ht="12.75" customHeight="1">
      <c r="A987" s="1704"/>
      <c r="B987" s="1703" t="s">
        <v>2596</v>
      </c>
      <c r="C987" s="1629"/>
      <c r="D987" s="1761" t="s">
        <v>2333</v>
      </c>
      <c r="E987" s="1761"/>
      <c r="F987" s="1761"/>
      <c r="G987" s="1628"/>
    </row>
    <row r="988" spans="1:7" ht="12.75" customHeight="1">
      <c r="A988" s="1629"/>
      <c r="B988" s="1629"/>
      <c r="C988" s="1629"/>
      <c r="D988" s="1761"/>
      <c r="E988" s="1761"/>
      <c r="F988" s="1761"/>
      <c r="G988" s="1628"/>
    </row>
    <row r="989" spans="1:7" ht="12.75" customHeight="1">
      <c r="A989" s="1629"/>
      <c r="B989" s="1629"/>
      <c r="C989" s="1629"/>
      <c r="D989" s="1761"/>
      <c r="E989" s="1761"/>
      <c r="F989" s="1761"/>
      <c r="G989" s="1628"/>
    </row>
    <row r="990" spans="1:7" ht="12.75" customHeight="1">
      <c r="A990" s="1629"/>
      <c r="B990" s="1629"/>
      <c r="C990" s="1629"/>
      <c r="D990" s="6"/>
      <c r="E990" s="6"/>
      <c r="F990" s="6"/>
      <c r="G990" s="1628"/>
    </row>
    <row r="991" spans="1:7" ht="12.75" customHeight="1">
      <c r="A991" s="1704"/>
      <c r="B991" s="1703" t="s">
        <v>2596</v>
      </c>
      <c r="C991" s="1629"/>
      <c r="D991" s="1761" t="s">
        <v>2334</v>
      </c>
      <c r="E991" s="1761"/>
      <c r="F991" s="1761"/>
      <c r="G991" s="1628"/>
    </row>
    <row r="992" spans="1:7" ht="12.75" customHeight="1">
      <c r="A992" s="1629"/>
      <c r="B992" s="1629"/>
      <c r="C992" s="1629"/>
      <c r="D992" s="1761"/>
      <c r="E992" s="1761"/>
      <c r="F992" s="1761"/>
      <c r="G992" s="1628"/>
    </row>
    <row r="993" spans="1:7" ht="12.75" customHeight="1">
      <c r="A993" s="1629"/>
      <c r="B993" s="1629"/>
      <c r="C993" s="1629"/>
      <c r="D993" s="1761"/>
      <c r="E993" s="1761"/>
      <c r="F993" s="1761"/>
      <c r="G993" s="1628"/>
    </row>
    <row r="994" spans="1:7" ht="12.75" customHeight="1">
      <c r="A994" s="1629"/>
      <c r="B994" s="1629"/>
      <c r="C994" s="1629"/>
      <c r="D994" s="1692"/>
      <c r="E994" s="1628"/>
      <c r="F994" s="1628"/>
      <c r="G994" s="1628"/>
    </row>
    <row r="995" spans="1:7" ht="12.75" customHeight="1">
      <c r="A995" s="1629"/>
      <c r="B995" s="1629"/>
      <c r="C995" s="1629"/>
      <c r="D995" s="1784" t="s">
        <v>2335</v>
      </c>
      <c r="E995" s="1784"/>
      <c r="F995" s="1784"/>
      <c r="G995" s="1628"/>
    </row>
    <row r="996" spans="1:7" ht="12.75" customHeight="1">
      <c r="A996" s="1629"/>
      <c r="B996" s="1629"/>
      <c r="C996" s="1629"/>
      <c r="D996" s="1693"/>
      <c r="E996" s="1628"/>
      <c r="F996" s="1628"/>
      <c r="G996" s="1628"/>
    </row>
    <row r="997" spans="1:7" ht="12.75" customHeight="1">
      <c r="A997" s="1704"/>
      <c r="B997" s="1703" t="s">
        <v>2596</v>
      </c>
      <c r="C997" s="1629"/>
      <c r="D997" s="1761" t="s">
        <v>2336</v>
      </c>
      <c r="E997" s="1761"/>
      <c r="F997" s="1761"/>
      <c r="G997" s="1689"/>
    </row>
    <row r="998" spans="1:7" ht="12.75" customHeight="1">
      <c r="A998" s="1629"/>
      <c r="B998" s="1629"/>
      <c r="C998" s="1629"/>
      <c r="D998" s="1761"/>
      <c r="E998" s="1761"/>
      <c r="F998" s="1761"/>
      <c r="G998" s="1689"/>
    </row>
    <row r="999" spans="1:7" ht="12.75" customHeight="1">
      <c r="A999" s="1629"/>
      <c r="B999" s="1629"/>
      <c r="C999" s="1629"/>
      <c r="D999" s="1761"/>
      <c r="E999" s="1761"/>
      <c r="F999" s="1761"/>
      <c r="G999" s="1689"/>
    </row>
    <row r="1000" spans="1:7" ht="12.75" customHeight="1">
      <c r="A1000" s="1629"/>
      <c r="B1000" s="1629"/>
      <c r="C1000" s="1629"/>
      <c r="D1000" s="747"/>
      <c r="E1000" s="747"/>
      <c r="F1000" s="747"/>
      <c r="G1000" s="747"/>
    </row>
    <row r="1001" spans="1:7" ht="12.75" customHeight="1">
      <c r="A1001" s="1629"/>
      <c r="B1001" s="1703" t="s">
        <v>2596</v>
      </c>
      <c r="C1001" s="1629"/>
      <c r="D1001" s="1761" t="s">
        <v>2337</v>
      </c>
      <c r="E1001" s="1761"/>
      <c r="F1001" s="1761"/>
      <c r="G1001" s="747"/>
    </row>
    <row r="1002" spans="1:7" ht="12.75" customHeight="1">
      <c r="A1002" s="1629"/>
      <c r="B1002" s="1629"/>
      <c r="C1002" s="1629"/>
      <c r="D1002" s="1761"/>
      <c r="E1002" s="1761"/>
      <c r="F1002" s="1761"/>
      <c r="G1002" s="747"/>
    </row>
    <row r="1003" spans="1:7" ht="12.75" customHeight="1">
      <c r="A1003" s="1629"/>
      <c r="B1003" s="1629"/>
      <c r="C1003" s="1629"/>
      <c r="D1003" s="1761"/>
      <c r="E1003" s="1761"/>
      <c r="F1003" s="1761"/>
      <c r="G1003" s="747"/>
    </row>
    <row r="1004" spans="1:7" ht="12.75" customHeight="1">
      <c r="A1004" s="1629"/>
      <c r="B1004" s="1629"/>
      <c r="C1004" s="1629"/>
      <c r="D1004" s="1692"/>
      <c r="E1004" s="1628"/>
      <c r="F1004" s="1628"/>
      <c r="G1004" s="1628"/>
    </row>
    <row r="1005" spans="1:7" ht="12.75" customHeight="1">
      <c r="A1005" s="1629"/>
      <c r="B1005" s="1703" t="s">
        <v>2596</v>
      </c>
      <c r="C1005" s="1629"/>
      <c r="D1005" s="1772" t="s">
        <v>2338</v>
      </c>
      <c r="E1005" s="1772"/>
      <c r="F1005" s="1772"/>
      <c r="G1005" s="814"/>
    </row>
    <row r="1006" spans="1:7" ht="12.75" customHeight="1">
      <c r="A1006" s="1629"/>
      <c r="B1006" s="1629"/>
      <c r="C1006" s="1629"/>
      <c r="D1006" s="1772"/>
      <c r="E1006" s="1772"/>
      <c r="F1006" s="1772"/>
      <c r="G1006" s="814"/>
    </row>
    <row r="1007" spans="1:7" ht="12.75" customHeight="1">
      <c r="A1007" s="1629"/>
      <c r="B1007" s="1629"/>
      <c r="C1007" s="1629"/>
      <c r="D1007" s="1772"/>
      <c r="E1007" s="1772"/>
      <c r="F1007" s="1772"/>
      <c r="G1007" s="814"/>
    </row>
    <row r="1008" spans="1:7" ht="12.75" customHeight="1">
      <c r="A1008" s="1629"/>
      <c r="B1008" s="1629"/>
      <c r="C1008" s="1629"/>
      <c r="D1008" s="1628"/>
      <c r="E1008" s="1628"/>
      <c r="F1008" s="1628"/>
      <c r="G1008" s="1628"/>
    </row>
    <row r="1009" spans="1:7" ht="12.75" customHeight="1">
      <c r="A1009" s="1629"/>
      <c r="B1009" s="1703" t="s">
        <v>2596</v>
      </c>
      <c r="C1009" s="1629"/>
      <c r="D1009" s="1761" t="s">
        <v>2339</v>
      </c>
      <c r="E1009" s="1761"/>
      <c r="F1009" s="1761"/>
      <c r="G1009" s="814"/>
    </row>
    <row r="1010" spans="1:7" ht="12.75" customHeight="1">
      <c r="A1010" s="1629"/>
      <c r="B1010" s="1629"/>
      <c r="C1010" s="1629"/>
      <c r="D1010" s="1761"/>
      <c r="E1010" s="1761"/>
      <c r="F1010" s="1761"/>
      <c r="G1010" s="814"/>
    </row>
    <row r="1011" spans="1:7" ht="12.75" customHeight="1">
      <c r="A1011" s="1629"/>
      <c r="B1011" s="1629"/>
      <c r="C1011" s="1629"/>
      <c r="D1011" s="1761"/>
      <c r="E1011" s="1761"/>
      <c r="F1011" s="1761"/>
      <c r="G1011" s="814"/>
    </row>
    <row r="1012" spans="1:7" ht="12.75" customHeight="1">
      <c r="A1012" s="1704"/>
      <c r="B1012" s="1704"/>
      <c r="C1012" s="1629"/>
      <c r="D1012" s="1692"/>
      <c r="E1012" s="1628"/>
      <c r="F1012" s="1628"/>
      <c r="G1012" s="1628"/>
    </row>
    <row r="1013" spans="1:7" ht="12.75" customHeight="1">
      <c r="A1013" s="1629"/>
      <c r="B1013" s="1703" t="s">
        <v>2596</v>
      </c>
      <c r="C1013" s="1629"/>
      <c r="D1013" s="1761" t="s">
        <v>2340</v>
      </c>
      <c r="E1013" s="1761"/>
      <c r="F1013" s="1761"/>
      <c r="G1013" s="814"/>
    </row>
    <row r="1014" spans="1:7" ht="12.75" customHeight="1">
      <c r="A1014" s="1629"/>
      <c r="B1014" s="1629"/>
      <c r="C1014" s="1629"/>
      <c r="D1014" s="1761"/>
      <c r="E1014" s="1761"/>
      <c r="F1014" s="1761"/>
      <c r="G1014" s="814"/>
    </row>
    <row r="1015" spans="1:7" ht="12.75" customHeight="1">
      <c r="A1015" s="1629"/>
      <c r="B1015" s="1629"/>
      <c r="C1015" s="1629"/>
      <c r="D1015" s="1761"/>
      <c r="E1015" s="1761"/>
      <c r="F1015" s="1761"/>
      <c r="G1015" s="814"/>
    </row>
    <row r="1016" spans="1:7" ht="12.75" customHeight="1">
      <c r="A1016" s="1629"/>
      <c r="B1016" s="1629"/>
      <c r="C1016" s="1629"/>
      <c r="D1016" s="1692"/>
      <c r="E1016" s="1628"/>
      <c r="F1016" s="1628"/>
      <c r="G1016" s="1628"/>
    </row>
    <row r="1017" spans="1:7" ht="12.75" customHeight="1">
      <c r="A1017" s="1629"/>
      <c r="B1017" s="1703" t="s">
        <v>2596</v>
      </c>
      <c r="C1017" s="1629"/>
      <c r="D1017" s="1761" t="s">
        <v>2341</v>
      </c>
      <c r="E1017" s="1761"/>
      <c r="F1017" s="1761"/>
      <c r="G1017" s="1689"/>
    </row>
    <row r="1018" spans="1:7" ht="12.75" customHeight="1">
      <c r="A1018" s="1629"/>
      <c r="B1018" s="1629"/>
      <c r="C1018" s="1629"/>
      <c r="D1018" s="1761"/>
      <c r="E1018" s="1761"/>
      <c r="F1018" s="1761"/>
      <c r="G1018" s="1689"/>
    </row>
    <row r="1019" spans="1:7" ht="12.75" customHeight="1">
      <c r="A1019" s="1629"/>
      <c r="B1019" s="1629"/>
      <c r="C1019" s="1629"/>
      <c r="D1019" s="1761"/>
      <c r="E1019" s="1761"/>
      <c r="F1019" s="1761"/>
      <c r="G1019" s="1689"/>
    </row>
    <row r="1020" spans="1:7" ht="12.75" customHeight="1">
      <c r="A1020" s="1629"/>
      <c r="B1020" s="1629"/>
      <c r="C1020" s="1629"/>
      <c r="D1020" s="1689"/>
      <c r="E1020" s="1689"/>
      <c r="F1020" s="1689"/>
      <c r="G1020" s="1689"/>
    </row>
    <row r="1021" spans="1:7" ht="12.75" customHeight="1">
      <c r="A1021" s="1629"/>
      <c r="B1021" s="1703" t="s">
        <v>2596</v>
      </c>
      <c r="C1021" s="1629"/>
      <c r="D1021" s="1761" t="s">
        <v>2342</v>
      </c>
      <c r="E1021" s="1761"/>
      <c r="F1021" s="1761"/>
      <c r="G1021" s="1689"/>
    </row>
    <row r="1022" spans="1:7" ht="12.75" customHeight="1">
      <c r="A1022" s="1629"/>
      <c r="B1022" s="1629"/>
      <c r="C1022" s="1629"/>
      <c r="D1022" s="1761"/>
      <c r="E1022" s="1761"/>
      <c r="F1022" s="1761"/>
      <c r="G1022" s="1689"/>
    </row>
    <row r="1023" spans="1:7" ht="12.75" customHeight="1">
      <c r="A1023" s="1629"/>
      <c r="B1023" s="1629"/>
      <c r="C1023" s="1629"/>
      <c r="D1023" s="1761"/>
      <c r="E1023" s="1761"/>
      <c r="F1023" s="1761"/>
      <c r="G1023" s="1689"/>
    </row>
    <row r="1024" spans="1:7" ht="12.75" customHeight="1">
      <c r="A1024" s="1629"/>
      <c r="B1024" s="1629"/>
      <c r="C1024" s="1629"/>
      <c r="D1024" s="1634"/>
      <c r="E1024" s="1634"/>
      <c r="F1024" s="1634"/>
      <c r="G1024" s="1634"/>
    </row>
    <row r="1025" spans="1:7" ht="12.75" customHeight="1">
      <c r="A1025" s="1629"/>
      <c r="B1025" s="1703" t="s">
        <v>2596</v>
      </c>
      <c r="C1025" s="1629"/>
      <c r="D1025" s="1891" t="s">
        <v>2343</v>
      </c>
      <c r="E1025" s="1891"/>
      <c r="F1025" s="1891"/>
      <c r="G1025" s="1712"/>
    </row>
    <row r="1026" spans="1:7" ht="12.75" customHeight="1">
      <c r="A1026" s="1629"/>
      <c r="B1026" s="1629"/>
      <c r="C1026" s="1629"/>
      <c r="D1026" s="1891"/>
      <c r="E1026" s="1891"/>
      <c r="F1026" s="1891"/>
      <c r="G1026" s="1712"/>
    </row>
    <row r="1027" spans="1:7" ht="12.75" customHeight="1">
      <c r="A1027" s="1629"/>
      <c r="B1027" s="1629"/>
      <c r="C1027" s="1629"/>
      <c r="D1027" s="1891"/>
      <c r="E1027" s="1891"/>
      <c r="F1027" s="1891"/>
      <c r="G1027" s="1712"/>
    </row>
    <row r="1028" spans="1:7" ht="12.75" customHeight="1">
      <c r="A1028" s="1629"/>
      <c r="B1028" s="1629"/>
      <c r="C1028" s="1629"/>
      <c r="D1028" s="1891"/>
      <c r="E1028" s="1891"/>
      <c r="F1028" s="1891"/>
      <c r="G1028" s="1712"/>
    </row>
    <row r="1029" spans="1:7" ht="12.75" customHeight="1">
      <c r="A1029" s="1629"/>
      <c r="B1029" s="1629"/>
      <c r="C1029" s="1629"/>
      <c r="D1029" s="1891"/>
      <c r="E1029" s="1891"/>
      <c r="F1029" s="1891"/>
      <c r="G1029" s="1712"/>
    </row>
    <row r="1030" spans="1:7" ht="12.75" customHeight="1">
      <c r="A1030" s="1629"/>
      <c r="B1030" s="1629"/>
      <c r="C1030" s="1629"/>
      <c r="D1030" s="1891"/>
      <c r="E1030" s="1891"/>
      <c r="F1030" s="1891"/>
      <c r="G1030" s="1712"/>
    </row>
    <row r="1031" spans="1:7" ht="12.75" customHeight="1">
      <c r="A1031" s="1629"/>
      <c r="B1031" s="1629"/>
      <c r="C1031" s="1629"/>
      <c r="D1031" s="1891"/>
      <c r="E1031" s="1891"/>
      <c r="F1031" s="1891"/>
      <c r="G1031" s="1712"/>
    </row>
    <row r="1032" spans="1:7" ht="12.75" customHeight="1">
      <c r="A1032" s="1629"/>
      <c r="B1032" s="1629"/>
      <c r="C1032" s="1629"/>
      <c r="D1032" s="1891"/>
      <c r="E1032" s="1891"/>
      <c r="F1032" s="1891"/>
      <c r="G1032" s="1712"/>
    </row>
    <row r="1033" spans="1:7" ht="12.75" customHeight="1">
      <c r="A1033" s="1629"/>
      <c r="B1033" s="1629"/>
      <c r="C1033" s="1629"/>
      <c r="D1033" s="1891"/>
      <c r="E1033" s="1891"/>
      <c r="F1033" s="1891"/>
      <c r="G1033" s="1712"/>
    </row>
    <row r="1034" spans="1:7" ht="12.75" customHeight="1">
      <c r="A1034" s="1629"/>
      <c r="B1034" s="1629"/>
      <c r="C1034" s="1629"/>
      <c r="D1034" s="1891"/>
      <c r="E1034" s="1891"/>
      <c r="F1034" s="1891"/>
      <c r="G1034" s="1712"/>
    </row>
    <row r="1035" spans="1:7" ht="12.75" customHeight="1">
      <c r="A1035" s="1629"/>
      <c r="B1035" s="1629"/>
      <c r="C1035" s="1629"/>
      <c r="D1035" s="1891"/>
      <c r="E1035" s="1891"/>
      <c r="F1035" s="1891"/>
      <c r="G1035" s="1712"/>
    </row>
    <row r="1036" spans="1:7" ht="12.75" customHeight="1">
      <c r="A1036" s="1629"/>
      <c r="B1036" s="1629"/>
      <c r="C1036" s="1629"/>
      <c r="D1036" s="1691"/>
      <c r="E1036" s="1691"/>
      <c r="F1036" s="1691"/>
      <c r="G1036" s="1691"/>
    </row>
    <row r="1037" spans="1:7" ht="12.75" customHeight="1">
      <c r="A1037" s="1629"/>
      <c r="B1037" s="1629"/>
      <c r="C1037" s="1629"/>
      <c r="D1037" s="1784" t="s">
        <v>2344</v>
      </c>
      <c r="E1037" s="1784"/>
      <c r="F1037" s="1784"/>
      <c r="G1037" s="1691"/>
    </row>
    <row r="1038" spans="1:7" ht="12.75" customHeight="1">
      <c r="A1038" s="1629"/>
      <c r="B1038" s="1629"/>
      <c r="C1038" s="1629"/>
      <c r="D1038" s="1693"/>
      <c r="E1038" s="1691"/>
      <c r="F1038" s="1691"/>
      <c r="G1038" s="1691"/>
    </row>
    <row r="1039" spans="1:7" ht="12.75" customHeight="1">
      <c r="A1039" s="1704"/>
      <c r="B1039" s="1703" t="s">
        <v>2596</v>
      </c>
      <c r="C1039" s="1629"/>
      <c r="D1039" s="1761" t="s">
        <v>2345</v>
      </c>
      <c r="E1039" s="1761"/>
      <c r="F1039" s="1761"/>
      <c r="G1039" s="1628"/>
    </row>
    <row r="1040" spans="1:7" ht="12.75" customHeight="1">
      <c r="A1040" s="1629"/>
      <c r="B1040" s="1629"/>
      <c r="C1040" s="1629"/>
      <c r="D1040" s="1761"/>
      <c r="E1040" s="1761"/>
      <c r="F1040" s="1761"/>
      <c r="G1040" s="1628"/>
    </row>
    <row r="1041" spans="1:7" ht="12.75" customHeight="1">
      <c r="A1041" s="1629"/>
      <c r="B1041" s="1629"/>
      <c r="C1041" s="1629"/>
      <c r="D1041" s="1761"/>
      <c r="E1041" s="1761"/>
      <c r="F1041" s="1761"/>
      <c r="G1041" s="1628"/>
    </row>
    <row r="1042" spans="1:7" ht="12.75" customHeight="1">
      <c r="A1042" s="1629"/>
      <c r="B1042" s="1629"/>
      <c r="C1042" s="1629"/>
      <c r="D1042" s="1761"/>
      <c r="E1042" s="1761"/>
      <c r="F1042" s="1761"/>
      <c r="G1042" s="1628"/>
    </row>
    <row r="1043" spans="1:7" ht="12.75" customHeight="1">
      <c r="A1043" s="1629"/>
      <c r="B1043" s="1629"/>
      <c r="C1043" s="1629"/>
      <c r="D1043" s="1628"/>
      <c r="E1043" s="1628"/>
      <c r="F1043" s="1628"/>
      <c r="G1043" s="1628"/>
    </row>
    <row r="1044" spans="1:7" ht="12.75" customHeight="1">
      <c r="A1044" s="1704"/>
      <c r="B1044" s="1703" t="s">
        <v>2596</v>
      </c>
      <c r="C1044" s="1629"/>
      <c r="D1044" s="1761" t="s">
        <v>2346</v>
      </c>
      <c r="E1044" s="1761"/>
      <c r="F1044" s="1761"/>
      <c r="G1044" s="1628"/>
    </row>
    <row r="1045" spans="1:7" ht="12.75" customHeight="1">
      <c r="A1045" s="1629"/>
      <c r="B1045" s="1629"/>
      <c r="C1045" s="1629"/>
      <c r="D1045" s="1761"/>
      <c r="E1045" s="1761"/>
      <c r="F1045" s="1761"/>
      <c r="G1045" s="1628"/>
    </row>
    <row r="1046" spans="1:7" ht="12.75" customHeight="1">
      <c r="A1046" s="1629"/>
      <c r="B1046" s="1629"/>
      <c r="C1046" s="1629"/>
      <c r="D1046" s="1761"/>
      <c r="E1046" s="1761"/>
      <c r="F1046" s="1761"/>
      <c r="G1046" s="1628"/>
    </row>
    <row r="1047" spans="1:7" ht="12.75" customHeight="1">
      <c r="A1047" s="1629"/>
      <c r="B1047" s="1629"/>
      <c r="C1047" s="1629"/>
      <c r="D1047" s="1761"/>
      <c r="E1047" s="1761"/>
      <c r="F1047" s="1761"/>
      <c r="G1047" s="1628"/>
    </row>
    <row r="1048" spans="1:7" ht="12.75" customHeight="1">
      <c r="A1048" s="1629"/>
      <c r="B1048" s="1629"/>
      <c r="C1048" s="1629"/>
      <c r="D1048" s="1628"/>
      <c r="E1048" s="1628"/>
      <c r="F1048" s="1628"/>
      <c r="G1048" s="1628"/>
    </row>
    <row r="1049" spans="1:7" ht="12.75" customHeight="1">
      <c r="A1049" s="1629"/>
      <c r="B1049" s="1703" t="s">
        <v>2596</v>
      </c>
      <c r="C1049" s="1629"/>
      <c r="D1049" s="1882" t="s">
        <v>2347</v>
      </c>
      <c r="E1049" s="1882"/>
      <c r="F1049" s="1882"/>
      <c r="G1049" s="1628"/>
    </row>
    <row r="1050" spans="1:7" ht="12.75" customHeight="1">
      <c r="A1050" s="1629"/>
      <c r="B1050" s="1629"/>
      <c r="C1050" s="1629"/>
      <c r="D1050" s="1882"/>
      <c r="E1050" s="1882"/>
      <c r="F1050" s="1882"/>
      <c r="G1050" s="1628"/>
    </row>
    <row r="1051" spans="1:7" ht="12.75" customHeight="1">
      <c r="A1051" s="1629"/>
      <c r="B1051" s="1629"/>
      <c r="C1051" s="1629"/>
      <c r="D1051" s="1882"/>
      <c r="E1051" s="1882"/>
      <c r="F1051" s="1882"/>
      <c r="G1051" s="1628"/>
    </row>
    <row r="1052" spans="1:7" ht="12.75" customHeight="1">
      <c r="A1052" s="1629"/>
      <c r="B1052" s="1629"/>
      <c r="C1052" s="1629"/>
      <c r="D1052" s="1628"/>
      <c r="E1052" s="1628"/>
      <c r="F1052" s="1628"/>
      <c r="G1052" s="1628"/>
    </row>
    <row r="1053" spans="1:7" ht="12.75" customHeight="1">
      <c r="A1053" s="1704"/>
      <c r="B1053" s="1703" t="s">
        <v>2596</v>
      </c>
      <c r="C1053" s="786"/>
      <c r="D1053" s="1861" t="s">
        <v>2348</v>
      </c>
      <c r="E1053" s="1861"/>
      <c r="F1053" s="1861"/>
      <c r="G1053" s="1711"/>
    </row>
    <row r="1054" spans="1:7" ht="12.75" customHeight="1">
      <c r="A1054" s="786"/>
      <c r="B1054" s="786"/>
      <c r="C1054" s="786"/>
      <c r="D1054" s="1861"/>
      <c r="E1054" s="1861"/>
      <c r="F1054" s="1861"/>
      <c r="G1054" s="1711"/>
    </row>
    <row r="1055" spans="1:7" ht="12.75" customHeight="1">
      <c r="A1055" s="786"/>
      <c r="B1055" s="786"/>
      <c r="C1055" s="786"/>
      <c r="D1055" s="1861"/>
      <c r="E1055" s="1861"/>
      <c r="F1055" s="1861"/>
      <c r="G1055" s="1711"/>
    </row>
    <row r="1056" spans="1:7" ht="12.75" customHeight="1">
      <c r="A1056" s="1629"/>
      <c r="B1056" s="1629"/>
      <c r="C1056" s="1629"/>
      <c r="D1056" s="1628"/>
      <c r="E1056" s="1628"/>
      <c r="F1056" s="1628"/>
      <c r="G1056" s="1628"/>
    </row>
    <row r="1057" spans="1:7" ht="12.75" customHeight="1">
      <c r="A1057" s="557"/>
      <c r="B1057" s="557"/>
      <c r="C1057" s="1629"/>
      <c r="D1057" s="1784" t="s">
        <v>2349</v>
      </c>
      <c r="E1057" s="1784"/>
      <c r="F1057" s="1784"/>
      <c r="G1057" s="1628"/>
    </row>
    <row r="1058" spans="1:7" ht="12.75" customHeight="1">
      <c r="A1058" s="557"/>
      <c r="B1058" s="557"/>
      <c r="C1058" s="1629"/>
      <c r="D1058" s="1693"/>
      <c r="E1058" s="1628"/>
      <c r="F1058" s="1628"/>
      <c r="G1058" s="1628"/>
    </row>
    <row r="1059" spans="1:7" ht="12.75" customHeight="1">
      <c r="A1059" s="1629"/>
      <c r="B1059" s="1703" t="s">
        <v>2596</v>
      </c>
      <c r="C1059" s="1629"/>
      <c r="D1059" s="1761" t="s">
        <v>2350</v>
      </c>
      <c r="E1059" s="1761"/>
      <c r="F1059" s="1761"/>
      <c r="G1059" s="1628"/>
    </row>
    <row r="1060" spans="1:7" ht="12.75" customHeight="1">
      <c r="A1060" s="1629"/>
      <c r="B1060" s="1629"/>
      <c r="C1060" s="1629"/>
      <c r="D1060" s="1761"/>
      <c r="E1060" s="1761"/>
      <c r="F1060" s="1761"/>
      <c r="G1060" s="1628"/>
    </row>
    <row r="1061" spans="1:7" ht="12.75" customHeight="1">
      <c r="A1061" s="1629"/>
      <c r="B1061" s="1629"/>
      <c r="C1061" s="1629"/>
      <c r="D1061" s="1761"/>
      <c r="E1061" s="1761"/>
      <c r="F1061" s="1761"/>
      <c r="G1061" s="1628"/>
    </row>
    <row r="1062" spans="1:7" ht="12.75" customHeight="1">
      <c r="A1062" s="1629"/>
      <c r="B1062" s="1629"/>
      <c r="C1062" s="1629"/>
      <c r="D1062" s="1628"/>
      <c r="E1062" s="1628"/>
      <c r="F1062" s="1628"/>
      <c r="G1062" s="1628"/>
    </row>
    <row r="1063" spans="1:7" ht="12.75" customHeight="1">
      <c r="A1063" s="1704"/>
      <c r="B1063" s="1703" t="s">
        <v>2596</v>
      </c>
      <c r="C1063" s="1629"/>
      <c r="D1063" s="1761" t="s">
        <v>2351</v>
      </c>
      <c r="E1063" s="1761"/>
      <c r="F1063" s="1761"/>
      <c r="G1063" s="1628"/>
    </row>
    <row r="1064" spans="1:7" ht="12.75" customHeight="1">
      <c r="A1064" s="1629"/>
      <c r="B1064" s="1629"/>
      <c r="C1064" s="1629"/>
      <c r="D1064" s="1761"/>
      <c r="E1064" s="1761"/>
      <c r="F1064" s="1761"/>
      <c r="G1064" s="1628"/>
    </row>
    <row r="1065" spans="1:7" ht="12.75" customHeight="1">
      <c r="A1065" s="1629"/>
      <c r="B1065" s="1629"/>
      <c r="C1065" s="1629"/>
      <c r="D1065" s="1761"/>
      <c r="E1065" s="1761"/>
      <c r="F1065" s="1761"/>
      <c r="G1065" s="1628"/>
    </row>
    <row r="1066" spans="1:7" ht="12.75" customHeight="1">
      <c r="A1066" s="1629"/>
      <c r="B1066" s="1629"/>
      <c r="C1066" s="1629"/>
      <c r="D1066" s="1628"/>
      <c r="E1066" s="1628"/>
      <c r="F1066" s="1628"/>
      <c r="G1066" s="1628"/>
    </row>
    <row r="1067" spans="1:7" ht="12.75" customHeight="1">
      <c r="A1067" s="1629"/>
      <c r="B1067" s="1629"/>
      <c r="C1067" s="1629"/>
      <c r="D1067" s="1784" t="s">
        <v>2352</v>
      </c>
      <c r="E1067" s="1784"/>
      <c r="F1067" s="1784"/>
      <c r="G1067" s="1628"/>
    </row>
    <row r="1068" spans="1:7" ht="12.75" customHeight="1">
      <c r="A1068" s="1629"/>
      <c r="B1068" s="1629"/>
      <c r="C1068" s="1629"/>
      <c r="D1068" s="1774" t="s">
        <v>2353</v>
      </c>
      <c r="E1068" s="1774"/>
      <c r="F1068" s="1774"/>
      <c r="G1068" s="1628"/>
    </row>
    <row r="1069" spans="1:7" ht="12.75" customHeight="1">
      <c r="A1069" s="1629"/>
      <c r="B1069" s="1629"/>
      <c r="C1069" s="1629"/>
      <c r="D1069" s="1635"/>
      <c r="E1069" s="1628"/>
      <c r="F1069" s="1628"/>
      <c r="G1069" s="1628"/>
    </row>
    <row r="1070" spans="1:7" ht="12.75" customHeight="1">
      <c r="A1070" s="1704"/>
      <c r="B1070" s="1703" t="s">
        <v>2596</v>
      </c>
      <c r="C1070" s="1629"/>
      <c r="D1070" s="1761" t="s">
        <v>2354</v>
      </c>
      <c r="E1070" s="1761"/>
      <c r="F1070" s="1761"/>
      <c r="G1070" s="1628"/>
    </row>
    <row r="1071" spans="1:7" ht="12.75" customHeight="1">
      <c r="A1071" s="1629"/>
      <c r="B1071" s="1629"/>
      <c r="C1071" s="1629"/>
      <c r="D1071" s="1761"/>
      <c r="E1071" s="1761"/>
      <c r="F1071" s="1761"/>
      <c r="G1071" s="1628"/>
    </row>
    <row r="1072" spans="1:7" ht="12.75" customHeight="1">
      <c r="A1072" s="1629"/>
      <c r="B1072" s="1629"/>
      <c r="C1072" s="1629"/>
      <c r="D1072" s="1628"/>
      <c r="E1072" s="1628"/>
      <c r="F1072" s="1628"/>
      <c r="G1072" s="1628"/>
    </row>
    <row r="1073" spans="1:7" ht="12.75" customHeight="1">
      <c r="A1073" s="1704"/>
      <c r="B1073" s="1703" t="s">
        <v>2596</v>
      </c>
      <c r="C1073" s="1629"/>
      <c r="D1073" s="1761" t="s">
        <v>2355</v>
      </c>
      <c r="E1073" s="1761"/>
      <c r="F1073" s="1761"/>
      <c r="G1073" s="1628"/>
    </row>
    <row r="1074" spans="1:7" ht="12.75" customHeight="1">
      <c r="A1074" s="1629"/>
      <c r="B1074" s="1629"/>
      <c r="C1074" s="1629"/>
      <c r="D1074" s="1761"/>
      <c r="E1074" s="1761"/>
      <c r="F1074" s="1761"/>
      <c r="G1074" s="1628"/>
    </row>
    <row r="1075" spans="1:7" ht="12.75" customHeight="1">
      <c r="A1075" s="1629"/>
      <c r="B1075" s="1629"/>
      <c r="C1075" s="1629"/>
      <c r="D1075" s="6"/>
      <c r="E1075" s="1628"/>
      <c r="F1075" s="1628"/>
      <c r="G1075" s="1628"/>
    </row>
    <row r="1076" spans="1:7" ht="12.75" customHeight="1">
      <c r="A1076" s="1629"/>
      <c r="B1076" s="1629"/>
      <c r="C1076" s="1629"/>
      <c r="D1076" s="1784" t="s">
        <v>2356</v>
      </c>
      <c r="E1076" s="1784"/>
      <c r="F1076" s="1784"/>
      <c r="G1076" s="1628"/>
    </row>
    <row r="1077" spans="1:7" ht="12.75" customHeight="1">
      <c r="A1077" s="1629"/>
      <c r="B1077" s="1629"/>
      <c r="C1077" s="1629"/>
      <c r="D1077" s="1693"/>
      <c r="E1077" s="1628"/>
      <c r="F1077" s="1628"/>
      <c r="G1077" s="1628"/>
    </row>
    <row r="1078" spans="1:7" ht="12.75" customHeight="1">
      <c r="A1078" s="1704"/>
      <c r="B1078" s="1703" t="s">
        <v>2596</v>
      </c>
      <c r="C1078" s="1629"/>
      <c r="D1078" s="1761" t="s">
        <v>2357</v>
      </c>
      <c r="E1078" s="1761"/>
      <c r="F1078" s="1761"/>
      <c r="G1078" s="1628"/>
    </row>
    <row r="1079" spans="1:7" ht="12.75" customHeight="1">
      <c r="A1079" s="1629"/>
      <c r="B1079" s="1629"/>
      <c r="C1079" s="1629"/>
      <c r="D1079" s="1761"/>
      <c r="E1079" s="1761"/>
      <c r="F1079" s="1761"/>
      <c r="G1079" s="1628"/>
    </row>
    <row r="1080" spans="1:7" ht="12.75" customHeight="1">
      <c r="A1080" s="1629"/>
      <c r="B1080" s="1629"/>
      <c r="C1080" s="1629"/>
      <c r="D1080" s="1761"/>
      <c r="E1080" s="1761"/>
      <c r="F1080" s="1761"/>
      <c r="G1080" s="1628"/>
    </row>
    <row r="1081" spans="1:7" ht="12.75" customHeight="1">
      <c r="A1081" s="1629"/>
      <c r="B1081" s="1629"/>
      <c r="C1081" s="1629"/>
      <c r="D1081" s="1761"/>
      <c r="E1081" s="1761"/>
      <c r="F1081" s="1761"/>
      <c r="G1081" s="1628"/>
    </row>
    <row r="1082" spans="1:7" ht="12.75" customHeight="1">
      <c r="A1082" s="1629"/>
      <c r="B1082" s="1629"/>
      <c r="C1082" s="1629"/>
      <c r="D1082" s="1761"/>
      <c r="E1082" s="1761"/>
      <c r="F1082" s="1761"/>
      <c r="G1082" s="1628"/>
    </row>
    <row r="1083" spans="1:7" ht="12.75" customHeight="1">
      <c r="A1083" s="1629"/>
      <c r="B1083" s="1629"/>
      <c r="C1083" s="1629"/>
      <c r="D1083" s="1761"/>
      <c r="E1083" s="1761"/>
      <c r="F1083" s="1761"/>
      <c r="G1083" s="1628"/>
    </row>
    <row r="1084" spans="1:7" ht="12.75" customHeight="1">
      <c r="A1084" s="1629"/>
      <c r="B1084" s="1629"/>
      <c r="C1084" s="1629"/>
      <c r="D1084" s="1761"/>
      <c r="E1084" s="1761"/>
      <c r="F1084" s="1761"/>
      <c r="G1084" s="1628"/>
    </row>
    <row r="1085" spans="1:7" ht="12.75" customHeight="1">
      <c r="A1085" s="1629"/>
      <c r="B1085" s="1629"/>
      <c r="C1085" s="1629"/>
      <c r="D1085" s="1628"/>
      <c r="E1085" s="1628"/>
      <c r="F1085" s="1628"/>
      <c r="G1085" s="1628"/>
    </row>
    <row r="1086" spans="1:7" ht="12.75" customHeight="1">
      <c r="A1086" s="1704"/>
      <c r="B1086" s="1703" t="s">
        <v>2596</v>
      </c>
      <c r="C1086" s="1629"/>
      <c r="D1086" s="1761" t="s">
        <v>2358</v>
      </c>
      <c r="E1086" s="1761"/>
      <c r="F1086" s="1761"/>
      <c r="G1086" s="1628"/>
    </row>
    <row r="1087" spans="1:7" ht="12.75" customHeight="1">
      <c r="A1087" s="1629"/>
      <c r="B1087" s="1629"/>
      <c r="C1087" s="1629"/>
      <c r="D1087" s="1761"/>
      <c r="E1087" s="1761"/>
      <c r="F1087" s="1761"/>
      <c r="G1087" s="1628"/>
    </row>
    <row r="1088" spans="1:7" ht="12.75" customHeight="1">
      <c r="A1088" s="1629"/>
      <c r="B1088" s="1629"/>
      <c r="C1088" s="1629"/>
      <c r="D1088" s="1761"/>
      <c r="E1088" s="1761"/>
      <c r="F1088" s="1761"/>
      <c r="G1088" s="1628"/>
    </row>
    <row r="1089" spans="1:7" ht="12.75" customHeight="1">
      <c r="A1089" s="1629"/>
      <c r="B1089" s="1629"/>
      <c r="C1089" s="1629"/>
      <c r="D1089" s="1761"/>
      <c r="E1089" s="1761"/>
      <c r="F1089" s="1761"/>
      <c r="G1089" s="1628"/>
    </row>
    <row r="1090" spans="1:7" ht="12.75" customHeight="1">
      <c r="A1090" s="1629"/>
      <c r="B1090" s="1629"/>
      <c r="C1090" s="1629"/>
      <c r="D1090" s="1761"/>
      <c r="E1090" s="1761"/>
      <c r="F1090" s="1761"/>
      <c r="G1090" s="1628"/>
    </row>
    <row r="1091" spans="1:7" ht="12.75" customHeight="1">
      <c r="A1091" s="1629"/>
      <c r="B1091" s="1629"/>
      <c r="C1091" s="1629"/>
      <c r="D1091" s="1761"/>
      <c r="E1091" s="1761"/>
      <c r="F1091" s="1761"/>
      <c r="G1091" s="1628"/>
    </row>
    <row r="1092" spans="1:7" ht="12.75" customHeight="1">
      <c r="A1092" s="1629"/>
      <c r="B1092" s="1629"/>
      <c r="C1092" s="1629"/>
      <c r="D1092" s="1761"/>
      <c r="E1092" s="1761"/>
      <c r="F1092" s="1761"/>
      <c r="G1092" s="1628"/>
    </row>
    <row r="1093" spans="1:7" ht="12.75" customHeight="1">
      <c r="A1093" s="1629"/>
      <c r="B1093" s="1629"/>
      <c r="C1093" s="1629"/>
      <c r="D1093" s="1689"/>
      <c r="E1093" s="1689"/>
      <c r="F1093" s="1689"/>
      <c r="G1093" s="1628"/>
    </row>
    <row r="1094" spans="1:7" ht="12.75" customHeight="1">
      <c r="A1094" s="1629"/>
      <c r="B1094" s="1703" t="s">
        <v>2596</v>
      </c>
      <c r="C1094" s="1629"/>
      <c r="D1094" s="1882" t="s">
        <v>2359</v>
      </c>
      <c r="E1094" s="1882"/>
      <c r="F1094" s="1882"/>
      <c r="G1094" s="1628"/>
    </row>
    <row r="1095" spans="1:7" ht="12.75" customHeight="1">
      <c r="A1095" s="1629"/>
      <c r="B1095" s="1629"/>
      <c r="C1095" s="1629"/>
      <c r="D1095" s="1882"/>
      <c r="E1095" s="1882"/>
      <c r="F1095" s="1882"/>
      <c r="G1095" s="1628"/>
    </row>
    <row r="1096" spans="1:7" ht="12.75" customHeight="1">
      <c r="A1096" s="1629"/>
      <c r="B1096" s="1629"/>
      <c r="C1096" s="1629"/>
      <c r="D1096" s="1882"/>
      <c r="E1096" s="1882"/>
      <c r="F1096" s="1882"/>
      <c r="G1096" s="1628"/>
    </row>
    <row r="1097" spans="1:7" ht="12.75" customHeight="1">
      <c r="A1097" s="1629"/>
      <c r="B1097" s="1629"/>
      <c r="C1097" s="1629"/>
      <c r="D1097" s="1698"/>
      <c r="E1097" s="1698"/>
      <c r="F1097" s="1698"/>
      <c r="G1097" s="1628"/>
    </row>
    <row r="1098" spans="1:7" ht="12.75" customHeight="1">
      <c r="A1098" s="557"/>
      <c r="B1098" s="557"/>
      <c r="C1098" s="557"/>
      <c r="D1098" s="1784" t="s">
        <v>2360</v>
      </c>
      <c r="E1098" s="1784"/>
      <c r="F1098" s="1784"/>
      <c r="G1098" s="6"/>
    </row>
    <row r="1099" spans="1:7" ht="12.75" customHeight="1">
      <c r="A1099" s="557"/>
      <c r="B1099" s="557"/>
      <c r="C1099" s="557"/>
      <c r="D1099" s="1693"/>
      <c r="E1099" s="6"/>
      <c r="F1099" s="6"/>
      <c r="G1099" s="6"/>
    </row>
    <row r="1100" spans="1:7" ht="12.75" customHeight="1">
      <c r="A1100" s="1704"/>
      <c r="B1100" s="1703" t="s">
        <v>2596</v>
      </c>
      <c r="C1100" s="557"/>
      <c r="D1100" s="1761" t="s">
        <v>2361</v>
      </c>
      <c r="E1100" s="1761"/>
      <c r="F1100" s="1761"/>
      <c r="G1100" s="6"/>
    </row>
    <row r="1101" spans="1:7" ht="12.75" customHeight="1">
      <c r="A1101" s="557"/>
      <c r="B1101" s="557"/>
      <c r="C1101" s="557"/>
      <c r="D1101" s="1761"/>
      <c r="E1101" s="1761"/>
      <c r="F1101" s="1761"/>
      <c r="G1101" s="6"/>
    </row>
    <row r="1102" spans="1:7" ht="12.75" customHeight="1">
      <c r="A1102" s="557"/>
      <c r="B1102" s="557"/>
      <c r="C1102" s="557"/>
      <c r="D1102" s="6"/>
      <c r="E1102" s="6"/>
      <c r="F1102" s="6"/>
      <c r="G1102" s="6"/>
    </row>
    <row r="1103" spans="1:7" ht="12.75" customHeight="1">
      <c r="A1103" s="1704"/>
      <c r="B1103" s="1703" t="s">
        <v>2596</v>
      </c>
      <c r="C1103" s="557"/>
      <c r="D1103" s="1761" t="s">
        <v>2362</v>
      </c>
      <c r="E1103" s="1761"/>
      <c r="F1103" s="1761"/>
      <c r="G1103" s="6"/>
    </row>
    <row r="1104" spans="1:7" ht="12.75" customHeight="1">
      <c r="A1104" s="557"/>
      <c r="B1104" s="557"/>
      <c r="C1104" s="557"/>
      <c r="D1104" s="1761"/>
      <c r="E1104" s="1761"/>
      <c r="F1104" s="1761"/>
      <c r="G1104" s="6"/>
    </row>
    <row r="1105" spans="1:7" ht="12.75" customHeight="1">
      <c r="A1105" s="557"/>
      <c r="B1105" s="557"/>
      <c r="C1105" s="557"/>
      <c r="D1105" s="6"/>
      <c r="E1105" s="6"/>
      <c r="F1105" s="6"/>
      <c r="G1105" s="6"/>
    </row>
    <row r="1106" spans="1:7" ht="12.75" customHeight="1">
      <c r="A1106" s="557"/>
      <c r="B1106" s="557"/>
      <c r="C1106" s="557"/>
      <c r="D1106" s="1784" t="s">
        <v>2363</v>
      </c>
      <c r="E1106" s="1784"/>
      <c r="F1106" s="1784"/>
      <c r="G1106" s="6"/>
    </row>
    <row r="1107" spans="1:7" ht="12.75" customHeight="1">
      <c r="A1107" s="557"/>
      <c r="B1107" s="557"/>
      <c r="C1107" s="557"/>
      <c r="D1107" s="1693"/>
      <c r="E1107" s="6"/>
      <c r="F1107" s="6"/>
      <c r="G1107" s="6"/>
    </row>
    <row r="1108" spans="1:7" ht="12.75" customHeight="1">
      <c r="A1108" s="1704"/>
      <c r="B1108" s="1703" t="s">
        <v>2595</v>
      </c>
      <c r="C1108" s="557"/>
      <c r="D1108" s="1774" t="s">
        <v>2390</v>
      </c>
      <c r="E1108" s="1774"/>
      <c r="F1108" s="1774"/>
      <c r="G1108" s="6"/>
    </row>
    <row r="1109" spans="1:7" ht="12.75" customHeight="1">
      <c r="A1109" s="557"/>
      <c r="B1109" s="557"/>
      <c r="C1109" s="557"/>
      <c r="D1109" s="6"/>
      <c r="E1109" s="6"/>
      <c r="F1109" s="6"/>
      <c r="G1109" s="6"/>
    </row>
    <row r="1110" spans="1:7" ht="12.75" customHeight="1">
      <c r="A1110" s="1704"/>
      <c r="B1110" s="1703" t="s">
        <v>2595</v>
      </c>
      <c r="C1110" s="557"/>
      <c r="D1110" s="1761" t="s">
        <v>2364</v>
      </c>
      <c r="E1110" s="1761"/>
      <c r="F1110" s="1761"/>
      <c r="G1110" s="6"/>
    </row>
    <row r="1111" spans="1:7" ht="12.75" customHeight="1">
      <c r="A1111" s="1704"/>
      <c r="B1111" s="1704"/>
      <c r="C1111" s="557"/>
      <c r="D1111" s="1761"/>
      <c r="E1111" s="1761"/>
      <c r="F1111" s="1761"/>
      <c r="G1111" s="6"/>
    </row>
    <row r="1112" spans="1:7" ht="12.75" customHeight="1">
      <c r="A1112" s="1704"/>
      <c r="B1112" s="1704"/>
      <c r="C1112" s="557"/>
      <c r="D1112" s="1689"/>
      <c r="E1112" s="1689"/>
      <c r="F1112" s="1689"/>
      <c r="G1112" s="718"/>
    </row>
    <row r="1113" spans="1:7" ht="12.75" customHeight="1">
      <c r="A1113" s="557"/>
      <c r="B1113" s="557"/>
      <c r="C1113" s="557"/>
      <c r="D1113" s="1784" t="s">
        <v>2365</v>
      </c>
      <c r="E1113" s="1784"/>
      <c r="F1113" s="1784"/>
      <c r="G1113" s="718"/>
    </row>
    <row r="1114" spans="1:7" ht="12.75" customHeight="1">
      <c r="A1114" s="557"/>
      <c r="B1114" s="557"/>
      <c r="C1114" s="557"/>
      <c r="D1114" s="1693"/>
      <c r="E1114" s="6"/>
      <c r="F1114" s="6"/>
      <c r="G1114" s="718"/>
    </row>
    <row r="1115" spans="1:7" ht="12.75" customHeight="1">
      <c r="A1115" s="1704"/>
      <c r="B1115" s="1703" t="s">
        <v>2596</v>
      </c>
      <c r="C1115" s="557"/>
      <c r="D1115" s="1761" t="s">
        <v>2366</v>
      </c>
      <c r="E1115" s="1761"/>
      <c r="F1115" s="1761"/>
      <c r="G1115" s="718"/>
    </row>
    <row r="1116" spans="1:7" ht="12.75" customHeight="1">
      <c r="A1116" s="1704"/>
      <c r="B1116" s="1704"/>
      <c r="C1116" s="557"/>
      <c r="D1116" s="1761"/>
      <c r="E1116" s="1761"/>
      <c r="F1116" s="1761"/>
      <c r="G1116" s="718"/>
    </row>
    <row r="1117" spans="1:7" ht="12.75" customHeight="1">
      <c r="A1117" s="1704"/>
      <c r="B1117" s="1704"/>
      <c r="C1117" s="557"/>
      <c r="D1117" s="1761"/>
      <c r="E1117" s="1761"/>
      <c r="F1117" s="1761"/>
      <c r="G1117" s="718"/>
    </row>
    <row r="1118" spans="1:7" ht="12.75" customHeight="1">
      <c r="A1118" s="1704"/>
      <c r="B1118" s="1704"/>
      <c r="C1118" s="557"/>
      <c r="D1118" s="1761"/>
      <c r="E1118" s="1761"/>
      <c r="F1118" s="1761"/>
      <c r="G1118" s="718"/>
    </row>
    <row r="1119" spans="1:7" ht="12.75" customHeight="1">
      <c r="A1119" s="1704"/>
      <c r="B1119" s="1704"/>
      <c r="C1119" s="557"/>
      <c r="D1119" s="1761"/>
      <c r="E1119" s="1761"/>
      <c r="F1119" s="1761"/>
      <c r="G1119" s="718"/>
    </row>
    <row r="1120" spans="1:7" ht="12.75" customHeight="1">
      <c r="A1120" s="1704"/>
      <c r="B1120" s="1704"/>
      <c r="C1120" s="557"/>
      <c r="D1120" s="1761"/>
      <c r="E1120" s="1761"/>
      <c r="F1120" s="1761"/>
      <c r="G1120" s="718"/>
    </row>
    <row r="1121" spans="1:7" ht="12.75" customHeight="1">
      <c r="A1121" s="1704"/>
      <c r="B1121" s="1704"/>
      <c r="C1121" s="557"/>
      <c r="D1121" s="1761"/>
      <c r="E1121" s="1761"/>
      <c r="F1121" s="1761"/>
      <c r="G1121" s="718"/>
    </row>
    <row r="1122" spans="1:7" ht="12.75" customHeight="1">
      <c r="A1122" s="1704"/>
      <c r="B1122" s="1704"/>
      <c r="C1122" s="557"/>
      <c r="D1122" s="1761"/>
      <c r="E1122" s="1761"/>
      <c r="F1122" s="1761"/>
      <c r="G1122" s="718"/>
    </row>
    <row r="1123" spans="1:7" ht="12.75" customHeight="1">
      <c r="A1123" s="1704"/>
      <c r="B1123" s="1704"/>
      <c r="C1123" s="557"/>
      <c r="D1123" s="1761"/>
      <c r="E1123" s="1761"/>
      <c r="F1123" s="1761"/>
      <c r="G1123" s="718"/>
    </row>
    <row r="1124" spans="1:7" ht="12.75" customHeight="1">
      <c r="A1124" s="1704"/>
      <c r="B1124" s="1704"/>
      <c r="C1124" s="557"/>
      <c r="D1124" s="1761"/>
      <c r="E1124" s="1761"/>
      <c r="F1124" s="1761"/>
      <c r="G1124" s="718"/>
    </row>
    <row r="1125" spans="1:7" ht="12.75" customHeight="1">
      <c r="A1125" s="1704"/>
      <c r="B1125" s="1704"/>
      <c r="C1125" s="557"/>
      <c r="D1125" s="1761"/>
      <c r="E1125" s="1761"/>
      <c r="F1125" s="1761"/>
      <c r="G1125" s="718"/>
    </row>
    <row r="1126" spans="1:7" ht="12.75" customHeight="1">
      <c r="A1126" s="1704"/>
      <c r="B1126" s="1704"/>
      <c r="C1126" s="557"/>
      <c r="D1126" s="1761"/>
      <c r="E1126" s="1761"/>
      <c r="F1126" s="1761"/>
      <c r="G1126" s="718"/>
    </row>
    <row r="1127" spans="1:7" ht="12.75" customHeight="1">
      <c r="A1127" s="1704"/>
      <c r="B1127" s="1704"/>
      <c r="C1127" s="557"/>
      <c r="D1127" s="1761"/>
      <c r="E1127" s="1761"/>
      <c r="F1127" s="1761"/>
      <c r="G1127" s="718"/>
    </row>
    <row r="1128" spans="1:7" ht="12.75" customHeight="1">
      <c r="A1128" s="1704"/>
      <c r="B1128" s="1704"/>
      <c r="C1128" s="557"/>
      <c r="D1128" s="1761"/>
      <c r="E1128" s="1761"/>
      <c r="F1128" s="1761"/>
      <c r="G1128" s="6"/>
    </row>
    <row r="1129" spans="1:7" ht="12.75" customHeight="1">
      <c r="A1129" s="557"/>
      <c r="B1129" s="557"/>
      <c r="C1129" s="557"/>
      <c r="D1129" s="6"/>
      <c r="E1129" s="6"/>
      <c r="F1129" s="6"/>
      <c r="G1129" s="6"/>
    </row>
    <row r="1130" spans="1:7" ht="12.75" customHeight="1">
      <c r="A1130" s="1883" t="s">
        <v>2367</v>
      </c>
      <c r="B1130" s="1883"/>
      <c r="C1130" s="1883"/>
      <c r="D1130" s="1883"/>
      <c r="E1130" s="1883"/>
      <c r="F1130" s="1883"/>
      <c r="G1130" s="1883"/>
    </row>
    <row r="1131" spans="1:7" ht="12.75" customHeight="1">
      <c r="A1131" s="1692"/>
      <c r="B1131" s="1692"/>
      <c r="C1131" s="557"/>
      <c r="D1131" s="6"/>
      <c r="E1131" s="6"/>
      <c r="F1131" s="6"/>
      <c r="G1131" s="6"/>
    </row>
    <row r="1132" spans="1:7" ht="12.75" customHeight="1">
      <c r="A1132" s="557"/>
      <c r="B1132" s="557"/>
      <c r="C1132" s="1629"/>
      <c r="D1132" s="1784" t="s">
        <v>2391</v>
      </c>
      <c r="E1132" s="1784"/>
      <c r="F1132" s="1784"/>
      <c r="G1132" s="6"/>
    </row>
    <row r="1133" spans="1:7" ht="12.75" customHeight="1">
      <c r="A1133" s="1631"/>
      <c r="B1133" s="1631"/>
      <c r="C1133" s="1631"/>
      <c r="D1133" s="1774" t="s">
        <v>2368</v>
      </c>
      <c r="E1133" s="1774"/>
      <c r="F1133" s="1774"/>
      <c r="G1133" s="6"/>
    </row>
    <row r="1134" spans="1:7" ht="12.75" customHeight="1">
      <c r="A1134" s="1631"/>
      <c r="B1134" s="1631"/>
      <c r="C1134" s="1631"/>
      <c r="D1134" s="6"/>
      <c r="E1134" s="6"/>
      <c r="F1134" s="1628"/>
      <c r="G1134" s="718"/>
    </row>
    <row r="1135" spans="1:7" ht="12.75" customHeight="1">
      <c r="A1135" s="557"/>
      <c r="B1135" s="1703" t="s">
        <v>2595</v>
      </c>
      <c r="C1135" s="557"/>
      <c r="D1135" s="1770" t="s">
        <v>2369</v>
      </c>
      <c r="E1135" s="1770"/>
      <c r="F1135" s="1770"/>
      <c r="G1135" s="718"/>
    </row>
    <row r="1136" spans="1:7" ht="12.75" customHeight="1">
      <c r="A1136" s="557"/>
      <c r="B1136" s="557"/>
      <c r="C1136" s="557"/>
      <c r="D1136" s="1770"/>
      <c r="E1136" s="1770"/>
      <c r="F1136" s="1770"/>
      <c r="G1136" s="718"/>
    </row>
    <row r="1137" spans="1:7" ht="12.75" customHeight="1">
      <c r="A1137" s="557"/>
      <c r="B1137" s="557"/>
      <c r="C1137" s="557"/>
      <c r="D1137" s="1770"/>
      <c r="E1137" s="1770"/>
      <c r="F1137" s="1770"/>
      <c r="G1137" s="718"/>
    </row>
    <row r="1138" spans="1:7" ht="12.75" customHeight="1">
      <c r="A1138" s="557"/>
      <c r="B1138" s="557"/>
      <c r="C1138" s="557"/>
      <c r="D1138" s="1770"/>
      <c r="E1138" s="1770"/>
      <c r="F1138" s="1770"/>
      <c r="G1138" s="718"/>
    </row>
    <row r="1139" spans="1:7" ht="12.75" customHeight="1">
      <c r="A1139" s="557"/>
      <c r="B1139" s="557"/>
      <c r="C1139" s="557"/>
      <c r="D1139" s="1770"/>
      <c r="E1139" s="1770"/>
      <c r="F1139" s="1770"/>
      <c r="G1139" s="718"/>
    </row>
    <row r="1140" spans="1:7" ht="12.75" customHeight="1">
      <c r="A1140" s="557"/>
      <c r="B1140" s="557"/>
      <c r="C1140" s="557"/>
      <c r="D1140" s="1770"/>
      <c r="E1140" s="1770"/>
      <c r="F1140" s="1770"/>
      <c r="G1140" s="718"/>
    </row>
    <row r="1141" spans="1:7" ht="12.75" customHeight="1">
      <c r="A1141" s="314"/>
      <c r="B1141" s="314"/>
      <c r="C1141" s="314"/>
      <c r="D1141" s="1770"/>
      <c r="E1141" s="1770"/>
      <c r="F1141" s="1770"/>
      <c r="G1141" s="718"/>
    </row>
    <row r="1142" spans="1:7" ht="12.75" customHeight="1">
      <c r="A1142" s="314"/>
      <c r="B1142" s="314"/>
      <c r="C1142" s="314"/>
      <c r="D1142" s="1770"/>
      <c r="E1142" s="1770"/>
      <c r="F1142" s="1770"/>
      <c r="G1142" s="718"/>
    </row>
    <row r="1143" spans="1:7" ht="12.75" customHeight="1">
      <c r="A1143" s="314"/>
      <c r="B1143" s="314"/>
      <c r="C1143" s="314"/>
      <c r="D1143" s="1690"/>
      <c r="E1143" s="1690"/>
      <c r="F1143" s="1690"/>
      <c r="G1143" s="718"/>
    </row>
    <row r="1144" spans="1:7" ht="12.75" customHeight="1">
      <c r="A1144" s="314"/>
      <c r="B1144" s="1703" t="s">
        <v>2596</v>
      </c>
      <c r="C1144" s="314"/>
      <c r="D1144" s="1761" t="s">
        <v>2370</v>
      </c>
      <c r="E1144" s="1761"/>
      <c r="F1144" s="1761"/>
      <c r="G1144" s="718"/>
    </row>
    <row r="1145" spans="1:7" ht="12.75" customHeight="1">
      <c r="A1145" s="314"/>
      <c r="B1145" s="314"/>
      <c r="C1145" s="314"/>
      <c r="D1145" s="1761"/>
      <c r="E1145" s="1761"/>
      <c r="F1145" s="1761"/>
      <c r="G1145" s="718"/>
    </row>
    <row r="1146" spans="1:7" ht="12.75" customHeight="1">
      <c r="A1146" s="314"/>
      <c r="B1146" s="314"/>
      <c r="C1146" s="314"/>
      <c r="D1146" s="1761"/>
      <c r="E1146" s="1761"/>
      <c r="F1146" s="1761"/>
      <c r="G1146" s="718"/>
    </row>
    <row r="1147" spans="1:7" ht="12.75" customHeight="1">
      <c r="A1147" s="314"/>
      <c r="B1147" s="314"/>
      <c r="C1147" s="314"/>
      <c r="D1147" s="1761"/>
      <c r="E1147" s="1761"/>
      <c r="F1147" s="1761"/>
      <c r="G1147" s="718"/>
    </row>
    <row r="1148" spans="1:7" ht="12.75" customHeight="1">
      <c r="A1148" s="314"/>
      <c r="B1148" s="314"/>
      <c r="C1148" s="314"/>
      <c r="D1148" s="1689"/>
      <c r="E1148" s="1689"/>
      <c r="F1148" s="1689"/>
      <c r="G1148" s="718"/>
    </row>
    <row r="1149" spans="1:7" ht="12.75" customHeight="1">
      <c r="A1149" s="314"/>
      <c r="B1149" s="1703" t="s">
        <v>2596</v>
      </c>
      <c r="C1149" s="314"/>
      <c r="D1149" s="1761" t="s">
        <v>2371</v>
      </c>
      <c r="E1149" s="1761"/>
      <c r="F1149" s="1761"/>
      <c r="G1149" s="718"/>
    </row>
    <row r="1150" spans="1:7" ht="12.75" customHeight="1">
      <c r="A1150" s="314"/>
      <c r="B1150" s="314"/>
      <c r="C1150" s="314"/>
      <c r="D1150" s="1761"/>
      <c r="E1150" s="1761"/>
      <c r="F1150" s="1761"/>
      <c r="G1150" s="718"/>
    </row>
    <row r="1151" spans="1:7" ht="12.75" customHeight="1">
      <c r="A1151" s="314"/>
      <c r="B1151" s="314"/>
      <c r="C1151" s="314"/>
      <c r="D1151" s="1689"/>
      <c r="E1151" s="1689"/>
      <c r="F1151" s="1689"/>
      <c r="G1151" s="718"/>
    </row>
    <row r="1152" spans="1:7" ht="12.75" customHeight="1">
      <c r="A1152" s="1704"/>
      <c r="B1152" s="1703" t="s">
        <v>2595</v>
      </c>
      <c r="C1152" s="557"/>
      <c r="D1152" s="1774" t="s">
        <v>2372</v>
      </c>
      <c r="E1152" s="1774"/>
      <c r="F1152" s="1774"/>
      <c r="G1152" s="718"/>
    </row>
    <row r="1153" spans="1:7" ht="12.75" customHeight="1">
      <c r="A1153" s="557"/>
      <c r="B1153" s="557"/>
      <c r="C1153" s="557"/>
      <c r="D1153" s="6"/>
      <c r="E1153" s="6"/>
      <c r="F1153" s="6"/>
      <c r="G1153" s="718"/>
    </row>
    <row r="1154" spans="1:7" ht="12.75" customHeight="1">
      <c r="A1154" s="1704"/>
      <c r="B1154" s="1703" t="s">
        <v>2596</v>
      </c>
      <c r="C1154" s="557"/>
      <c r="D1154" s="1774" t="s">
        <v>2373</v>
      </c>
      <c r="E1154" s="1774"/>
      <c r="F1154" s="1774"/>
      <c r="G1154" s="718"/>
    </row>
    <row r="1155" spans="1:7" ht="12.75" customHeight="1">
      <c r="A1155" s="557"/>
      <c r="B1155" s="557"/>
      <c r="C1155" s="557"/>
      <c r="D1155" s="1692"/>
      <c r="E1155" s="6"/>
      <c r="F1155" s="6"/>
      <c r="G1155" s="718"/>
    </row>
    <row r="1156" spans="1:7" ht="12.75" customHeight="1">
      <c r="A1156" s="1704"/>
      <c r="B1156" s="1703" t="s">
        <v>2595</v>
      </c>
      <c r="C1156" s="557"/>
      <c r="D1156" s="1774" t="s">
        <v>2374</v>
      </c>
      <c r="E1156" s="1774"/>
      <c r="F1156" s="1774"/>
      <c r="G1156" s="718"/>
    </row>
    <row r="1157" spans="1:7" ht="12.75" customHeight="1">
      <c r="A1157" s="557"/>
      <c r="B1157" s="557"/>
      <c r="C1157" s="557"/>
      <c r="D1157" s="1692"/>
      <c r="E1157" s="6"/>
      <c r="F1157" s="6"/>
      <c r="G1157" s="718"/>
    </row>
    <row r="1158" spans="1:7" ht="12.75" customHeight="1">
      <c r="A1158" s="1704"/>
      <c r="B1158" s="1703" t="s">
        <v>2596</v>
      </c>
      <c r="C1158" s="557"/>
      <c r="D1158" s="1761" t="s">
        <v>2375</v>
      </c>
      <c r="E1158" s="1761"/>
      <c r="F1158" s="1761"/>
      <c r="G1158" s="718"/>
    </row>
    <row r="1159" spans="1:7" ht="12.75" customHeight="1">
      <c r="A1159" s="1704"/>
      <c r="B1159" s="1704"/>
      <c r="C1159" s="557"/>
      <c r="D1159" s="1761"/>
      <c r="E1159" s="1761"/>
      <c r="F1159" s="1761"/>
      <c r="G1159" s="718"/>
    </row>
    <row r="1160" spans="1:7" ht="12.75" customHeight="1">
      <c r="A1160" s="1704"/>
      <c r="B1160" s="1704"/>
      <c r="C1160" s="557"/>
      <c r="D1160" s="1692"/>
      <c r="E1160" s="6"/>
      <c r="F1160" s="6"/>
      <c r="G1160" s="6"/>
    </row>
    <row r="1161" spans="1:7" ht="12.75" customHeight="1">
      <c r="A1161" s="1710"/>
      <c r="B1161" s="1703" t="s">
        <v>2596</v>
      </c>
      <c r="C1161" s="1709"/>
      <c r="D1161" s="1881" t="s">
        <v>2376</v>
      </c>
      <c r="E1161" s="1881"/>
      <c r="F1161" s="1881"/>
      <c r="G1161" s="1707"/>
    </row>
    <row r="1162" spans="1:7" ht="12.75" customHeight="1">
      <c r="A1162" s="1709"/>
      <c r="B1162" s="1709"/>
      <c r="C1162" s="1709"/>
      <c r="D1162" s="1881"/>
      <c r="E1162" s="1881"/>
      <c r="F1162" s="1881"/>
      <c r="G1162" s="1707"/>
    </row>
    <row r="1163" spans="1:7" ht="12.75" customHeight="1">
      <c r="A1163" s="1709"/>
      <c r="B1163" s="1709"/>
      <c r="C1163" s="1709"/>
      <c r="D1163" s="1708"/>
      <c r="E1163" s="1707"/>
      <c r="F1163" s="1707"/>
      <c r="G1163" s="1707"/>
    </row>
    <row r="1164" spans="1:7" ht="12.75" customHeight="1">
      <c r="A1164" s="1710"/>
      <c r="B1164" s="1703" t="s">
        <v>2595</v>
      </c>
      <c r="C1164" s="1709"/>
      <c r="D1164" s="1892" t="s">
        <v>2377</v>
      </c>
      <c r="E1164" s="1892"/>
      <c r="F1164" s="1892"/>
      <c r="G1164" s="1707"/>
    </row>
    <row r="1165" spans="1:7" ht="12.75" customHeight="1">
      <c r="A1165" s="1709"/>
      <c r="B1165" s="1709"/>
      <c r="C1165" s="1709"/>
      <c r="D1165" s="1708"/>
      <c r="E1165" s="1707"/>
      <c r="F1165" s="1707"/>
      <c r="G1165" s="1707"/>
    </row>
    <row r="1166" spans="1:7" ht="12.75" customHeight="1">
      <c r="A1166" s="1704"/>
      <c r="B1166" s="1703" t="s">
        <v>2596</v>
      </c>
      <c r="C1166" s="557"/>
      <c r="D1166" s="1774" t="s">
        <v>2378</v>
      </c>
      <c r="E1166" s="1774"/>
      <c r="F1166" s="1774"/>
      <c r="G1166" s="6"/>
    </row>
    <row r="1167" spans="1:7" ht="12.75" customHeight="1">
      <c r="A1167" s="1704"/>
      <c r="B1167" s="1704"/>
      <c r="C1167" s="557"/>
      <c r="D1167" s="1692"/>
      <c r="E1167" s="6"/>
      <c r="F1167" s="6"/>
      <c r="G1167" s="6"/>
    </row>
    <row r="1168" spans="1:7" ht="12.75" customHeight="1">
      <c r="A1168" s="1704"/>
      <c r="B1168" s="1703" t="s">
        <v>2596</v>
      </c>
      <c r="C1168" s="557"/>
      <c r="D1168" s="1761" t="s">
        <v>2379</v>
      </c>
      <c r="E1168" s="1761"/>
      <c r="F1168" s="1761"/>
      <c r="G1168" s="6"/>
    </row>
    <row r="1169" spans="1:7" ht="12.75" customHeight="1">
      <c r="A1169" s="1704"/>
      <c r="B1169" s="1704"/>
      <c r="C1169" s="557"/>
      <c r="D1169" s="1761"/>
      <c r="E1169" s="1761"/>
      <c r="F1169" s="1761"/>
      <c r="G1169" s="6"/>
    </row>
    <row r="1170" spans="1:7" ht="12.75" customHeight="1">
      <c r="A1170" s="557"/>
      <c r="B1170" s="557"/>
      <c r="C1170" s="557"/>
      <c r="D1170" s="6"/>
      <c r="E1170" s="6"/>
      <c r="F1170" s="6"/>
      <c r="G1170" s="6"/>
    </row>
    <row r="1171" spans="1:7" ht="12.75" customHeight="1">
      <c r="A1171" s="1883" t="s">
        <v>2380</v>
      </c>
      <c r="B1171" s="1883"/>
      <c r="C1171" s="1883"/>
      <c r="D1171" s="1883"/>
      <c r="E1171" s="1883"/>
      <c r="F1171" s="1883"/>
      <c r="G1171" s="1883"/>
    </row>
    <row r="1172" spans="1:7" ht="12.75" customHeight="1">
      <c r="A1172" s="557"/>
      <c r="B1172" s="557"/>
      <c r="C1172" s="557"/>
      <c r="D1172" s="6"/>
      <c r="E1172" s="6"/>
      <c r="F1172" s="6"/>
      <c r="G1172" s="6"/>
    </row>
    <row r="1173" spans="1:7" ht="12.75" customHeight="1">
      <c r="A1173" s="557"/>
      <c r="B1173" s="557"/>
      <c r="C1173" s="557"/>
      <c r="D1173" s="1889" t="s">
        <v>2381</v>
      </c>
      <c r="E1173" s="1889"/>
      <c r="F1173" s="1889"/>
      <c r="G1173" s="6"/>
    </row>
    <row r="1174" spans="1:7" ht="12.75" customHeight="1">
      <c r="A1174" s="557"/>
      <c r="B1174" s="557"/>
      <c r="C1174" s="557"/>
      <c r="D1174" s="1892" t="s">
        <v>2382</v>
      </c>
      <c r="E1174" s="1892"/>
      <c r="F1174" s="1892"/>
      <c r="G1174" s="6"/>
    </row>
    <row r="1175" spans="1:7" ht="12.75" customHeight="1">
      <c r="A1175" s="1631"/>
      <c r="B1175" s="1631"/>
      <c r="C1175" s="1631"/>
      <c r="D1175" s="6"/>
      <c r="E1175" s="6"/>
      <c r="F1175" s="6"/>
      <c r="G1175" s="6"/>
    </row>
    <row r="1176" spans="1:7" ht="12.75" customHeight="1">
      <c r="A1176" s="1704"/>
      <c r="B1176" s="1704"/>
      <c r="C1176" s="314"/>
      <c r="D1176" s="1889" t="s">
        <v>2396</v>
      </c>
      <c r="E1176" s="1889"/>
      <c r="F1176" s="1889"/>
      <c r="G1176" s="6"/>
    </row>
    <row r="1177" spans="1:7" ht="12.75" customHeight="1">
      <c r="A1177" s="557"/>
      <c r="B1177" s="1703" t="s">
        <v>2595</v>
      </c>
      <c r="C1177" s="557"/>
      <c r="D1177" s="1892" t="s">
        <v>1514</v>
      </c>
      <c r="E1177" s="1892"/>
      <c r="F1177" s="1892"/>
      <c r="G1177" s="6"/>
    </row>
    <row r="1178" spans="1:7" ht="12.75" customHeight="1">
      <c r="A1178" s="557"/>
      <c r="B1178" s="1704"/>
      <c r="C1178" s="557"/>
      <c r="D1178" s="1892" t="s">
        <v>2383</v>
      </c>
      <c r="E1178" s="1892"/>
      <c r="F1178" s="1892"/>
      <c r="G1178" s="6"/>
    </row>
    <row r="1179" spans="1:7" ht="12.75" customHeight="1">
      <c r="A1179" s="557"/>
      <c r="B1179" s="557"/>
      <c r="C1179" s="557"/>
      <c r="D1179" s="1892"/>
      <c r="E1179" s="1892"/>
      <c r="F1179" s="1892"/>
      <c r="G1179" s="6"/>
    </row>
    <row r="1180" spans="1:7" ht="12.75" customHeight="1">
      <c r="A1180" s="1883" t="s">
        <v>2392</v>
      </c>
      <c r="B1180" s="1883"/>
      <c r="C1180" s="1883"/>
      <c r="D1180" s="1883"/>
      <c r="E1180" s="1883"/>
      <c r="F1180" s="1883"/>
      <c r="G1180" s="1883"/>
    </row>
    <row r="1181" spans="1:7" ht="12.75" customHeight="1">
      <c r="A1181" s="1692"/>
      <c r="B1181" s="1692"/>
      <c r="C1181" s="557"/>
      <c r="D1181" s="6"/>
      <c r="E1181" s="6"/>
      <c r="F1181" s="6"/>
      <c r="G1181" s="6"/>
    </row>
    <row r="1182" spans="1:7" ht="12.75" customHeight="1">
      <c r="A1182" s="1692"/>
      <c r="B1182" s="1639"/>
      <c r="D1182" s="1893" t="s">
        <v>1515</v>
      </c>
      <c r="E1182" s="1893"/>
      <c r="F1182" s="1893"/>
      <c r="G1182" s="6"/>
    </row>
    <row r="1183" spans="1:7" ht="12.75" customHeight="1">
      <c r="A1183" s="1692"/>
      <c r="B1183" s="1703" t="s">
        <v>2596</v>
      </c>
      <c r="D1183" s="1875" t="s">
        <v>1514</v>
      </c>
      <c r="E1183" s="1875"/>
      <c r="F1183" s="1875"/>
      <c r="G1183" s="6"/>
    </row>
    <row r="1184" spans="1:7" ht="12.75" customHeight="1">
      <c r="A1184" s="1692"/>
      <c r="B1184" s="1639"/>
      <c r="D1184" s="1875" t="s">
        <v>2393</v>
      </c>
      <c r="E1184" s="1875"/>
      <c r="F1184" s="1875"/>
      <c r="G1184" s="6"/>
    </row>
    <row r="1185" spans="1:7" ht="12.75" customHeight="1">
      <c r="A1185" s="1692"/>
      <c r="B1185" s="1639"/>
      <c r="D1185" s="1706"/>
      <c r="E1185" s="1706"/>
      <c r="F1185" s="1706"/>
      <c r="G1185" s="6"/>
    </row>
    <row r="1186" spans="1:7" ht="12.75" customHeight="1">
      <c r="A1186" s="1692"/>
      <c r="B1186" s="1692"/>
      <c r="C1186" s="557"/>
      <c r="D1186" s="1894" t="s">
        <v>1189</v>
      </c>
      <c r="E1186" s="1894"/>
      <c r="F1186" s="1894"/>
      <c r="G1186" s="6"/>
    </row>
    <row r="1187" spans="1:7" ht="12.75" customHeight="1">
      <c r="A1187" s="1705"/>
      <c r="B1187" s="1705"/>
      <c r="C1187" s="1705"/>
      <c r="D1187" s="1827" t="s">
        <v>1206</v>
      </c>
      <c r="E1187" s="1827"/>
      <c r="F1187" s="1827"/>
      <c r="G1187" s="152"/>
    </row>
    <row r="1188" spans="1:7" ht="12.75" customHeight="1">
      <c r="A1188" s="1704"/>
      <c r="B1188" s="1703" t="s">
        <v>2596</v>
      </c>
      <c r="C1188" s="557"/>
      <c r="D1188" s="1827" t="s">
        <v>1074</v>
      </c>
      <c r="E1188" s="1827"/>
      <c r="F1188" s="1827"/>
      <c r="G1188" s="6"/>
    </row>
    <row r="1189" spans="1:7" ht="12.75" customHeight="1">
      <c r="A1189" s="557"/>
      <c r="B1189" s="557"/>
      <c r="C1189" s="557"/>
      <c r="D1189" s="6"/>
      <c r="E1189" s="1866" t="s">
        <v>1190</v>
      </c>
      <c r="F1189" s="1866"/>
      <c r="G1189" s="6"/>
    </row>
    <row r="1190" spans="1:7">
      <c r="A1190" s="1639"/>
      <c r="B1190" s="1639"/>
      <c r="C1190" s="1639"/>
    </row>
    <row r="1191" spans="1:7">
      <c r="A1191" s="1883" t="s">
        <v>2420</v>
      </c>
      <c r="B1191" s="1883"/>
      <c r="C1191" s="1883"/>
      <c r="D1191" s="1883"/>
      <c r="E1191" s="1883"/>
      <c r="F1191" s="1883"/>
      <c r="G1191" s="1883"/>
    </row>
    <row r="1192" spans="1:7">
      <c r="A1192" s="1639"/>
      <c r="B1192" s="1639"/>
      <c r="C1192" s="1639"/>
    </row>
    <row r="1193" spans="1:7">
      <c r="A1193" s="1639"/>
      <c r="B1193" s="1639"/>
      <c r="C1193" s="1639"/>
      <c r="D1193" s="623" t="s">
        <v>2399</v>
      </c>
    </row>
    <row r="1194" spans="1:7">
      <c r="A1194" s="1639"/>
      <c r="B1194" s="1639"/>
      <c r="C1194" s="1639"/>
      <c r="D1194" s="1639" t="s">
        <v>2398</v>
      </c>
    </row>
    <row r="1195" spans="1:7">
      <c r="A1195" s="1639"/>
      <c r="B1195" s="1639"/>
      <c r="C1195" s="1639"/>
      <c r="D1195" s="623"/>
    </row>
    <row r="1196" spans="1:7">
      <c r="A1196" s="1639"/>
      <c r="B1196" s="1703" t="s">
        <v>2596</v>
      </c>
      <c r="C1196" s="1639"/>
      <c r="D1196" s="1848" t="s">
        <v>2397</v>
      </c>
      <c r="E1196" s="1848"/>
      <c r="F1196" s="1848"/>
    </row>
    <row r="1197" spans="1:7">
      <c r="A1197" s="1639"/>
      <c r="B1197" s="1639"/>
      <c r="C1197" s="1639"/>
      <c r="D1197" s="1848"/>
      <c r="E1197" s="1848"/>
      <c r="F1197" s="1848"/>
    </row>
    <row r="1198" spans="1:7">
      <c r="A1198" s="1639"/>
      <c r="B1198" s="1639"/>
      <c r="C1198" s="1639"/>
      <c r="D1198" s="1848"/>
      <c r="E1198" s="1848"/>
      <c r="F1198" s="1848"/>
    </row>
    <row r="1199" spans="1:7">
      <c r="A1199" s="1639"/>
      <c r="B1199" s="1639"/>
      <c r="C1199" s="1639"/>
      <c r="D1199" s="1848"/>
      <c r="E1199" s="1848"/>
      <c r="F1199" s="1848"/>
    </row>
    <row r="1200" spans="1:7">
      <c r="A1200" s="1639"/>
      <c r="B1200" s="1639"/>
      <c r="C1200" s="1639"/>
    </row>
    <row r="1201" spans="1:7">
      <c r="A1201" s="1639"/>
      <c r="B1201" s="1639"/>
      <c r="C1201" s="1639"/>
      <c r="D1201" s="623" t="s">
        <v>1599</v>
      </c>
    </row>
    <row r="1202" spans="1:7">
      <c r="A1202" s="1639"/>
      <c r="B1202" s="1639"/>
      <c r="C1202" s="1639"/>
      <c r="D1202" s="1639" t="s">
        <v>2400</v>
      </c>
    </row>
    <row r="1203" spans="1:7">
      <c r="A1203" s="1639"/>
      <c r="B1203" s="1639"/>
      <c r="C1203" s="1639"/>
    </row>
    <row r="1204" spans="1:7">
      <c r="A1204" s="1639"/>
      <c r="B1204" s="1703" t="s">
        <v>2596</v>
      </c>
      <c r="C1204" s="1639"/>
      <c r="D1204" s="1639" t="s">
        <v>2395</v>
      </c>
    </row>
    <row r="1205" spans="1:7">
      <c r="A1205" s="1639"/>
      <c r="B1205" s="1639"/>
      <c r="C1205" s="1639"/>
    </row>
    <row r="1206" spans="1:7">
      <c r="A1206" s="1639"/>
      <c r="B1206" s="1703" t="s">
        <v>2596</v>
      </c>
      <c r="C1206" s="1639"/>
      <c r="D1206" s="1848" t="s">
        <v>2401</v>
      </c>
      <c r="E1206" s="1848"/>
      <c r="F1206" s="1848"/>
    </row>
    <row r="1207" spans="1:7">
      <c r="A1207" s="1639"/>
      <c r="B1207" s="1639"/>
      <c r="C1207" s="1639"/>
      <c r="D1207" s="1848"/>
      <c r="E1207" s="1848"/>
      <c r="F1207" s="1848"/>
    </row>
    <row r="1208" spans="1:7">
      <c r="A1208" s="1639"/>
      <c r="B1208" s="1639"/>
      <c r="C1208" s="1639"/>
      <c r="D1208" s="1848"/>
      <c r="E1208" s="1848"/>
      <c r="F1208" s="1848"/>
    </row>
    <row r="1209" spans="1:7">
      <c r="A1209" s="1639"/>
      <c r="B1209" s="1639"/>
      <c r="C1209" s="1639"/>
      <c r="D1209" s="1848"/>
      <c r="E1209" s="1848"/>
      <c r="F1209" s="1848"/>
    </row>
    <row r="1210" spans="1:7">
      <c r="A1210" s="1639"/>
      <c r="B1210" s="1639"/>
      <c r="C1210" s="1639"/>
      <c r="D1210" s="1848"/>
      <c r="E1210" s="1848"/>
      <c r="F1210" s="1848"/>
    </row>
    <row r="1211" spans="1:7">
      <c r="A1211" s="1639"/>
      <c r="B1211" s="1639"/>
      <c r="C1211" s="1639"/>
    </row>
    <row r="1212" spans="1:7">
      <c r="A1212" s="1883" t="s">
        <v>2402</v>
      </c>
      <c r="B1212" s="1883"/>
      <c r="C1212" s="1883"/>
      <c r="D1212" s="1883"/>
      <c r="E1212" s="1883"/>
      <c r="F1212" s="1883"/>
      <c r="G1212" s="1883"/>
    </row>
    <row r="1213" spans="1:7">
      <c r="A1213" s="1639"/>
      <c r="B1213" s="1639"/>
      <c r="C1213" s="1639"/>
    </row>
    <row r="1214" spans="1:7">
      <c r="A1214" s="1639"/>
      <c r="B1214" s="1639"/>
      <c r="C1214" s="1639"/>
    </row>
    <row r="1215" spans="1:7">
      <c r="A1215" s="1639"/>
      <c r="B1215" s="1703" t="s">
        <v>2595</v>
      </c>
      <c r="C1215" s="1639"/>
      <c r="D1215" s="833" t="s">
        <v>2406</v>
      </c>
    </row>
    <row r="1216" spans="1:7">
      <c r="A1216" s="1639"/>
      <c r="B1216" s="1639"/>
      <c r="C1216" s="1639"/>
      <c r="D1216" s="833" t="s">
        <v>2412</v>
      </c>
    </row>
    <row r="1217" spans="2:6" s="1639" customFormat="1">
      <c r="D1217" s="833"/>
    </row>
    <row r="1218" spans="2:6" s="1639" customFormat="1">
      <c r="B1218" s="1703" t="s">
        <v>1163</v>
      </c>
      <c r="D1218" s="833" t="s">
        <v>2403</v>
      </c>
    </row>
    <row r="1219" spans="2:6" s="1639" customFormat="1">
      <c r="D1219" s="833" t="s">
        <v>2411</v>
      </c>
    </row>
    <row r="1220" spans="2:6" s="1639" customFormat="1">
      <c r="D1220" s="833"/>
    </row>
    <row r="1221" spans="2:6" s="1639" customFormat="1">
      <c r="B1221" s="1703" t="s">
        <v>2595</v>
      </c>
      <c r="D1221" s="833" t="s">
        <v>2407</v>
      </c>
    </row>
    <row r="1222" spans="2:6" s="1639" customFormat="1">
      <c r="D1222" s="833"/>
      <c r="E1222" s="623" t="s">
        <v>2408</v>
      </c>
    </row>
    <row r="1223" spans="2:6" s="1639" customFormat="1">
      <c r="D1223" s="833" t="s">
        <v>2410</v>
      </c>
    </row>
    <row r="1224" spans="2:6" s="1639" customFormat="1">
      <c r="D1224" s="833"/>
    </row>
    <row r="1225" spans="2:6" s="1639" customFormat="1">
      <c r="B1225" s="1703" t="s">
        <v>2595</v>
      </c>
      <c r="D1225" s="833" t="s">
        <v>2413</v>
      </c>
    </row>
    <row r="1226" spans="2:6" s="1639" customFormat="1">
      <c r="D1226" s="833" t="s">
        <v>2409</v>
      </c>
    </row>
    <row r="1227" spans="2:6" s="1639" customFormat="1">
      <c r="D1227" s="833"/>
    </row>
    <row r="1228" spans="2:6" s="1639" customFormat="1">
      <c r="B1228" s="1703" t="s">
        <v>2596</v>
      </c>
      <c r="D1228" s="833" t="s">
        <v>2415</v>
      </c>
    </row>
    <row r="1229" spans="2:6" s="1639" customFormat="1">
      <c r="D1229" s="833" t="s">
        <v>2414</v>
      </c>
    </row>
    <row r="1230" spans="2:6" s="1639" customFormat="1">
      <c r="D1230" s="833"/>
    </row>
    <row r="1231" spans="2:6" s="1639" customFormat="1">
      <c r="B1231" s="1703" t="s">
        <v>2596</v>
      </c>
      <c r="D1231" s="814" t="s">
        <v>2418</v>
      </c>
    </row>
    <row r="1232" spans="2:6" s="1639" customFormat="1">
      <c r="D1232" s="1761" t="s">
        <v>2419</v>
      </c>
      <c r="E1232" s="1761"/>
      <c r="F1232" s="1761"/>
    </row>
    <row r="1233" spans="1:7">
      <c r="A1233" s="1639"/>
      <c r="B1233" s="1639"/>
      <c r="C1233" s="1639"/>
      <c r="D1233" s="1761"/>
      <c r="E1233" s="1761"/>
      <c r="F1233" s="1761"/>
    </row>
    <row r="1234" spans="1:7">
      <c r="A1234" s="1639"/>
      <c r="B1234" s="1639"/>
      <c r="C1234" s="1639"/>
      <c r="D1234" s="1761"/>
      <c r="E1234" s="1761"/>
      <c r="F1234" s="1761"/>
    </row>
    <row r="1235" spans="1:7">
      <c r="A1235" s="1639"/>
      <c r="B1235" s="1639"/>
      <c r="C1235" s="1639"/>
      <c r="D1235" s="1761"/>
      <c r="E1235" s="1761"/>
      <c r="F1235" s="1761"/>
    </row>
    <row r="1236" spans="1:7">
      <c r="A1236" s="1639"/>
      <c r="B1236" s="1639"/>
      <c r="C1236" s="1639"/>
      <c r="D1236" s="814" t="s">
        <v>2417</v>
      </c>
    </row>
    <row r="1237" spans="1:7">
      <c r="A1237" s="1639"/>
      <c r="B1237" s="1639"/>
      <c r="C1237" s="1639"/>
      <c r="D1237" s="814"/>
    </row>
    <row r="1238" spans="1:7">
      <c r="A1238" s="1639"/>
      <c r="B1238" s="1639"/>
      <c r="C1238" s="1639"/>
      <c r="D1238" s="833" t="s">
        <v>2404</v>
      </c>
    </row>
    <row r="1239" spans="1:7">
      <c r="A1239" s="1639"/>
      <c r="B1239" s="1703" t="s">
        <v>2596</v>
      </c>
      <c r="C1239" s="1639"/>
      <c r="D1239" s="1895" t="s">
        <v>2405</v>
      </c>
      <c r="E1239" s="1895"/>
      <c r="F1239" s="1895"/>
    </row>
    <row r="1240" spans="1:7">
      <c r="A1240" s="1639"/>
      <c r="B1240" s="1639"/>
      <c r="C1240" s="1639"/>
      <c r="D1240" s="1895"/>
      <c r="E1240" s="1895"/>
      <c r="F1240" s="1895"/>
    </row>
    <row r="1241" spans="1:7">
      <c r="A1241" s="1639"/>
      <c r="B1241" s="1639"/>
      <c r="C1241" s="1639"/>
      <c r="D1241" s="1895"/>
      <c r="E1241" s="1895"/>
      <c r="F1241" s="1895"/>
    </row>
    <row r="1242" spans="1:7">
      <c r="A1242" s="1639"/>
      <c r="B1242" s="1639"/>
      <c r="C1242" s="1639"/>
      <c r="D1242" s="1895"/>
      <c r="E1242" s="1895"/>
      <c r="F1242" s="1895"/>
    </row>
    <row r="1243" spans="1:7">
      <c r="A1243" s="1639"/>
      <c r="B1243" s="1639"/>
      <c r="C1243" s="1639"/>
      <c r="D1243" s="1895"/>
      <c r="E1243" s="1895"/>
      <c r="F1243" s="1895"/>
    </row>
    <row r="1244" spans="1:7">
      <c r="A1244" s="1639"/>
      <c r="B1244" s="1639"/>
      <c r="C1244" s="1639"/>
      <c r="D1244" s="833" t="s">
        <v>2416</v>
      </c>
    </row>
    <row r="1245" spans="1:7">
      <c r="A1245" s="1639"/>
      <c r="B1245" s="1639"/>
      <c r="C1245" s="1639"/>
    </row>
    <row r="1246" spans="1:7">
      <c r="A1246" s="1883" t="s">
        <v>2421</v>
      </c>
      <c r="B1246" s="1883"/>
      <c r="C1246" s="1883"/>
      <c r="D1246" s="1883"/>
      <c r="E1246" s="1883"/>
      <c r="F1246" s="1883"/>
      <c r="G1246" s="1883"/>
    </row>
    <row r="1247" spans="1:7">
      <c r="A1247" s="1639"/>
      <c r="B1247" s="1639"/>
      <c r="C1247" s="1639"/>
    </row>
    <row r="1248" spans="1:7">
      <c r="A1248" s="1639"/>
      <c r="B1248" s="1639"/>
      <c r="C1248" s="1639"/>
    </row>
    <row r="1249" spans="1:6">
      <c r="A1249" s="1639"/>
      <c r="B1249" s="1703" t="s">
        <v>2595</v>
      </c>
      <c r="C1249" s="1639"/>
      <c r="D1249" s="1895" t="s">
        <v>2422</v>
      </c>
      <c r="E1249" s="1895"/>
      <c r="F1249" s="1895"/>
    </row>
    <row r="1250" spans="1:6">
      <c r="A1250" s="1639"/>
      <c r="B1250" s="1639"/>
      <c r="C1250" s="1639"/>
      <c r="D1250" s="1895"/>
      <c r="E1250" s="1895"/>
      <c r="F1250" s="1895"/>
    </row>
    <row r="1251" spans="1:6">
      <c r="A1251" s="1639"/>
      <c r="B1251" s="1639"/>
      <c r="C1251" s="1639"/>
      <c r="D1251" s="1895"/>
      <c r="E1251" s="1895"/>
      <c r="F1251" s="1895"/>
    </row>
    <row r="1252" spans="1:6">
      <c r="A1252" s="1639"/>
      <c r="B1252" s="1639"/>
      <c r="C1252" s="1639"/>
      <c r="D1252" s="833"/>
    </row>
    <row r="1253" spans="1:6">
      <c r="A1253" s="1639"/>
      <c r="B1253" s="1703" t="s">
        <v>2596</v>
      </c>
      <c r="C1253" s="1639"/>
      <c r="D1253" s="1895" t="s">
        <v>2423</v>
      </c>
      <c r="E1253" s="1895"/>
      <c r="F1253" s="1895"/>
    </row>
    <row r="1254" spans="1:6">
      <c r="A1254" s="1639"/>
      <c r="B1254" s="1639"/>
      <c r="C1254" s="1639"/>
      <c r="D1254" s="1895"/>
      <c r="E1254" s="1895"/>
      <c r="F1254" s="1895"/>
    </row>
    <row r="1255" spans="1:6">
      <c r="A1255" s="1639"/>
      <c r="B1255" s="1639"/>
      <c r="C1255" s="1639"/>
      <c r="D1255" s="833"/>
    </row>
    <row r="1256" spans="1:6">
      <c r="A1256" s="1639"/>
      <c r="B1256" s="1703" t="s">
        <v>2596</v>
      </c>
      <c r="C1256" s="1639"/>
      <c r="D1256" s="1895" t="s">
        <v>2424</v>
      </c>
      <c r="E1256" s="1895"/>
      <c r="F1256" s="1895"/>
    </row>
    <row r="1257" spans="1:6">
      <c r="A1257" s="1639"/>
      <c r="B1257" s="1639"/>
      <c r="C1257" s="1639"/>
      <c r="D1257" s="1895"/>
      <c r="E1257" s="1895"/>
      <c r="F1257" s="1895"/>
    </row>
    <row r="1258" spans="1:6">
      <c r="A1258" s="1639"/>
      <c r="B1258" s="1639"/>
      <c r="C1258" s="1639"/>
      <c r="D1258" s="1895"/>
      <c r="E1258" s="1895"/>
      <c r="F1258" s="1895"/>
    </row>
    <row r="1259" spans="1:6">
      <c r="A1259" s="1639"/>
      <c r="B1259" s="1639"/>
      <c r="C1259" s="1639"/>
      <c r="D1259" s="1895"/>
      <c r="E1259" s="1895"/>
      <c r="F1259" s="1895"/>
    </row>
    <row r="1260" spans="1:6">
      <c r="A1260" s="1639"/>
      <c r="B1260" s="1639"/>
      <c r="C1260" s="1639"/>
      <c r="D1260" s="1895"/>
      <c r="E1260" s="1895"/>
      <c r="F1260" s="1895"/>
    </row>
    <row r="1261" spans="1:6">
      <c r="A1261" s="1639"/>
      <c r="B1261" s="1639"/>
      <c r="C1261" s="1639"/>
      <c r="D1261" s="833"/>
    </row>
    <row r="1262" spans="1:6">
      <c r="A1262" s="1639"/>
      <c r="B1262" s="1703" t="s">
        <v>2596</v>
      </c>
      <c r="C1262" s="1639"/>
      <c r="D1262" s="1895" t="s">
        <v>2425</v>
      </c>
      <c r="E1262" s="1895"/>
      <c r="F1262" s="1895"/>
    </row>
    <row r="1263" spans="1:6">
      <c r="A1263" s="1639"/>
      <c r="B1263" s="1639"/>
      <c r="C1263" s="1639"/>
      <c r="D1263" s="1895"/>
      <c r="E1263" s="1895"/>
      <c r="F1263" s="1895"/>
    </row>
    <row r="1264" spans="1:6">
      <c r="A1264" s="1639"/>
      <c r="B1264" s="1639"/>
      <c r="C1264" s="1639"/>
      <c r="D1264" s="1895"/>
      <c r="E1264" s="1895"/>
      <c r="F1264" s="1895"/>
    </row>
    <row r="1265" spans="1:6">
      <c r="A1265" s="1639"/>
      <c r="B1265" s="1639"/>
      <c r="C1265" s="1639"/>
      <c r="D1265" s="833"/>
    </row>
    <row r="1266" spans="1:6">
      <c r="A1266" s="1639"/>
      <c r="B1266" s="1703" t="s">
        <v>2595</v>
      </c>
      <c r="C1266" s="1639"/>
      <c r="D1266" s="1772" t="s">
        <v>2426</v>
      </c>
      <c r="E1266" s="1772"/>
      <c r="F1266" s="1772"/>
    </row>
    <row r="1267" spans="1:6">
      <c r="A1267" s="1639"/>
      <c r="B1267" s="1639"/>
      <c r="C1267" s="1639"/>
      <c r="D1267" s="1772"/>
      <c r="E1267" s="1772"/>
      <c r="F1267" s="1772"/>
    </row>
    <row r="1268" spans="1:6">
      <c r="A1268" s="1639"/>
      <c r="B1268" s="1639"/>
      <c r="C1268" s="1639"/>
      <c r="D1268" s="1772"/>
      <c r="E1268" s="1772"/>
      <c r="F1268" s="1772"/>
    </row>
    <row r="1269" spans="1:6">
      <c r="A1269" s="1639"/>
      <c r="B1269" s="1639"/>
      <c r="C1269" s="1639"/>
    </row>
    <row r="1270" spans="1:6">
      <c r="A1270" s="1639"/>
      <c r="B1270" s="1639"/>
      <c r="C1270" s="1639"/>
    </row>
    <row r="1271" spans="1:6">
      <c r="A1271" s="1639"/>
      <c r="B1271" s="1639"/>
      <c r="C1271" s="1639"/>
    </row>
    <row r="1272" spans="1:6">
      <c r="A1272" s="1639"/>
      <c r="B1272" s="1639"/>
      <c r="C1272" s="1639"/>
    </row>
    <row r="1273" spans="1:6">
      <c r="A1273" s="1639"/>
      <c r="B1273" s="1639"/>
      <c r="C1273" s="1639"/>
    </row>
    <row r="1274" spans="1:6">
      <c r="A1274" s="1639"/>
      <c r="B1274" s="1639"/>
      <c r="C1274" s="1639"/>
    </row>
    <row r="1275" spans="1:6">
      <c r="A1275" s="1639"/>
      <c r="B1275" s="1639"/>
      <c r="C1275" s="1639"/>
    </row>
    <row r="1276" spans="1:6">
      <c r="A1276" s="1639"/>
      <c r="B1276" s="1639"/>
      <c r="C1276" s="1639"/>
    </row>
    <row r="1277" spans="1:6">
      <c r="A1277" s="1639"/>
      <c r="B1277" s="1639"/>
      <c r="C1277" s="1639"/>
    </row>
    <row r="1278" spans="1:6">
      <c r="A1278" s="1639"/>
      <c r="B1278" s="1639"/>
      <c r="C1278" s="1639"/>
    </row>
    <row r="1279" spans="1:6">
      <c r="A1279" s="1639"/>
      <c r="B1279" s="1639"/>
      <c r="C1279" s="1639"/>
    </row>
    <row r="1280" spans="1:6">
      <c r="A1280" s="1639"/>
      <c r="B1280" s="1639"/>
      <c r="C1280" s="1639"/>
    </row>
    <row r="1281" spans="1:3">
      <c r="A1281" s="1639"/>
      <c r="B1281" s="1639"/>
      <c r="C1281" s="1639"/>
    </row>
    <row r="1282" spans="1:3">
      <c r="A1282" s="1639"/>
      <c r="B1282" s="1639"/>
      <c r="C1282" s="1639"/>
    </row>
    <row r="1283" spans="1:3">
      <c r="A1283" s="1639"/>
      <c r="B1283" s="1639"/>
      <c r="C1283" s="1639"/>
    </row>
    <row r="1284" spans="1:3">
      <c r="A1284" s="1639"/>
      <c r="B1284" s="1639"/>
      <c r="C1284" s="1639"/>
    </row>
    <row r="1285" spans="1:3">
      <c r="A1285" s="1639"/>
      <c r="B1285" s="1639"/>
      <c r="C1285" s="1639"/>
    </row>
    <row r="1286" spans="1:3">
      <c r="A1286" s="1639"/>
      <c r="B1286" s="1639"/>
      <c r="C1286" s="1639"/>
    </row>
    <row r="1287" spans="1:3">
      <c r="A1287" s="1639"/>
      <c r="B1287" s="1639"/>
      <c r="C1287" s="1639"/>
    </row>
    <row r="1288" spans="1:3"/>
    <row r="1289" spans="1:3"/>
    <row r="1290" spans="1:3"/>
    <row r="1291" spans="1:3"/>
    <row r="1292" spans="1:3"/>
    <row r="1293" spans="1:3"/>
    <row r="1294" spans="1:3"/>
    <row r="1295" spans="1:3">
      <c r="A1295" s="1639"/>
      <c r="B1295" s="1639"/>
      <c r="C1295" s="1639"/>
    </row>
    <row r="1296" spans="1:3">
      <c r="A1296" s="1639"/>
      <c r="B1296" s="1639"/>
      <c r="C1296" s="1639"/>
    </row>
    <row r="1297" s="1639" customFormat="1"/>
    <row r="1298" s="1639" customFormat="1"/>
    <row r="1299" s="1639" customFormat="1"/>
    <row r="1300" s="1639" customFormat="1"/>
    <row r="1301" s="1639" customFormat="1"/>
    <row r="1302" s="1639" customFormat="1"/>
    <row r="1303" s="1639" customFormat="1"/>
    <row r="1304" s="1639" customFormat="1"/>
    <row r="1305" s="1639" customFormat="1"/>
    <row r="1306" s="1639" customFormat="1"/>
    <row r="1307" s="1639" customFormat="1"/>
    <row r="1308" s="1639" customFormat="1"/>
    <row r="1309" s="1639" customFormat="1"/>
    <row r="1310" s="1639" customFormat="1"/>
    <row r="1311" s="1639" customFormat="1"/>
    <row r="1312" s="1639" customFormat="1"/>
    <row r="1313" s="1639" customFormat="1"/>
    <row r="1314" s="1639" customFormat="1"/>
    <row r="1315" s="1639" customFormat="1"/>
    <row r="1316" s="1639" customFormat="1"/>
    <row r="1317" s="1639" customFormat="1"/>
    <row r="1318" s="1639" customFormat="1"/>
    <row r="1319" s="1639" customFormat="1"/>
    <row r="1320" s="1639" customFormat="1"/>
    <row r="1321" s="1639" customFormat="1"/>
    <row r="1322" s="1639" customFormat="1"/>
    <row r="1323" s="1639" customFormat="1"/>
    <row r="1324" s="1639" customFormat="1"/>
    <row r="1325" s="1639" customFormat="1"/>
    <row r="1326" s="1639" customFormat="1"/>
    <row r="1327" s="1639" customFormat="1"/>
    <row r="1328" s="1639" customFormat="1"/>
    <row r="1329" s="1639" customFormat="1"/>
    <row r="1330" s="1639" customFormat="1"/>
    <row r="1331" s="1639" customFormat="1"/>
    <row r="1332" s="1639" customFormat="1"/>
    <row r="1333" s="1639" customFormat="1"/>
    <row r="1334" s="1639" customFormat="1"/>
    <row r="1335" s="1639" customFormat="1"/>
    <row r="1336" s="1639" customFormat="1"/>
    <row r="1337" s="1639" customFormat="1"/>
    <row r="1338" s="1639" customFormat="1"/>
    <row r="1339" s="1639" customFormat="1"/>
    <row r="1340" s="1639" customFormat="1"/>
    <row r="1341" s="1639" customFormat="1"/>
    <row r="1342" s="1639" customFormat="1"/>
    <row r="1343" s="1639" customFormat="1"/>
    <row r="1344" s="1639" customFormat="1"/>
    <row r="1345" s="1639" customFormat="1"/>
    <row r="1346" s="1639" customFormat="1"/>
    <row r="1347" s="1639" customFormat="1"/>
    <row r="1348" s="1639" customFormat="1"/>
    <row r="1349" s="1639" customFormat="1"/>
    <row r="1350" s="1639" customFormat="1"/>
    <row r="1351" s="1639" customFormat="1"/>
    <row r="1352" s="1639" customFormat="1"/>
    <row r="1353" s="1639" customFormat="1"/>
    <row r="1354" s="1639" customFormat="1"/>
    <row r="1355" s="1639" customFormat="1"/>
    <row r="1356" s="1639" customFormat="1"/>
    <row r="1357" s="1639" customFormat="1"/>
    <row r="1358" s="1639" customFormat="1"/>
    <row r="1359" s="1639" customFormat="1"/>
    <row r="1360" s="1639" customFormat="1"/>
    <row r="1361" s="1639" customFormat="1"/>
    <row r="1362" s="1639" customFormat="1"/>
    <row r="1363" s="1639" customFormat="1"/>
    <row r="1364" s="1639" customFormat="1"/>
    <row r="1365" s="1639" customFormat="1"/>
    <row r="1366" s="1639" customFormat="1"/>
    <row r="1367" s="1639" customFormat="1"/>
    <row r="1368" s="1639" customFormat="1"/>
    <row r="1369" s="1639" customFormat="1"/>
    <row r="1370" s="1639" customFormat="1"/>
    <row r="1371" s="1639" customFormat="1"/>
    <row r="1372" s="1639" customFormat="1"/>
    <row r="1373" s="1639" customFormat="1"/>
    <row r="1374" s="1639" customFormat="1"/>
    <row r="1375" s="1639" customFormat="1"/>
    <row r="1376" s="1639" customFormat="1"/>
    <row r="1377" s="1639" customFormat="1"/>
    <row r="1378" s="1639" customFormat="1"/>
    <row r="1379" s="1639" customFormat="1"/>
    <row r="1380" s="1639" customFormat="1"/>
    <row r="1381" s="1639" customFormat="1"/>
    <row r="1382" s="1639" customFormat="1"/>
    <row r="1383" s="1639" customFormat="1"/>
    <row r="1384" s="1639" customFormat="1"/>
    <row r="1385" s="1639" customFormat="1"/>
    <row r="1386" s="1639" customFormat="1"/>
    <row r="1387" s="1639" customFormat="1"/>
    <row r="1388" s="1639" customFormat="1"/>
    <row r="1389" s="1639" customFormat="1"/>
    <row r="1390" s="1639" customFormat="1"/>
    <row r="1391" s="1639" customFormat="1"/>
    <row r="1392" s="1639" customFormat="1"/>
    <row r="1393" s="1639" customFormat="1"/>
    <row r="1394" s="1639" customFormat="1"/>
    <row r="1395" s="1639" customFormat="1"/>
    <row r="1396" s="1639" customFormat="1"/>
    <row r="1397" s="1639" customFormat="1"/>
    <row r="1398" s="1639" customFormat="1"/>
    <row r="1399" s="1639" customFormat="1"/>
    <row r="1400" s="1639" customFormat="1"/>
    <row r="1401" s="1639" customFormat="1"/>
    <row r="1402" s="1639" customFormat="1"/>
    <row r="1403" s="1639" customFormat="1"/>
    <row r="1404" s="1639" customFormat="1"/>
    <row r="1405" s="1639" customFormat="1"/>
    <row r="1406" s="1639" customFormat="1"/>
    <row r="1407" s="1639" customFormat="1"/>
    <row r="1408" s="1639" customFormat="1"/>
    <row r="1409" s="1639" customFormat="1"/>
    <row r="1410" s="1639" customFormat="1"/>
    <row r="1411" s="1639" customFormat="1"/>
    <row r="1412" s="1639" customFormat="1"/>
    <row r="1413" s="1639" customFormat="1"/>
    <row r="1414" s="1639" customFormat="1"/>
    <row r="1415" s="1639" customFormat="1"/>
    <row r="1416" s="1639" customFormat="1"/>
    <row r="1417" s="1639" customFormat="1"/>
    <row r="1418" s="1639" customFormat="1"/>
    <row r="1419" s="1639" customFormat="1"/>
    <row r="1420" s="1639" customFormat="1"/>
    <row r="1421" s="1639" customFormat="1"/>
    <row r="1422" s="1639" customFormat="1"/>
    <row r="1423" s="1639" customFormat="1"/>
    <row r="1424" s="1639" customFormat="1"/>
    <row r="1425" s="1639" customFormat="1"/>
    <row r="1426" s="1639" customFormat="1"/>
    <row r="1427" s="1639" customFormat="1"/>
    <row r="1428" s="1639" customFormat="1"/>
    <row r="1429" s="1639" customFormat="1"/>
    <row r="1430" s="1639" customFormat="1"/>
    <row r="1431" s="1639" customFormat="1"/>
    <row r="1432" s="1639" customFormat="1"/>
    <row r="1433" s="1639" customFormat="1"/>
    <row r="1434" s="1639" customFormat="1"/>
    <row r="1435" s="1639" customFormat="1"/>
    <row r="1436" s="1639" customFormat="1"/>
    <row r="1437" s="1639" customFormat="1"/>
    <row r="1438" s="1639" customFormat="1"/>
    <row r="1439" s="1639" customFormat="1"/>
    <row r="1440" s="1639" customFormat="1"/>
    <row r="1441" s="1639" customFormat="1"/>
    <row r="1442" s="1639" customFormat="1"/>
    <row r="1443" s="1639" customFormat="1"/>
    <row r="1444" s="1639" customFormat="1"/>
    <row r="1445" s="1639" customFormat="1"/>
    <row r="1446" s="1639" customFormat="1"/>
    <row r="1447" s="1639" customFormat="1"/>
    <row r="1448" s="1639" customFormat="1"/>
    <row r="1449" s="1639" customFormat="1"/>
    <row r="1450" s="1639" customFormat="1"/>
    <row r="1451" s="1639" customFormat="1"/>
    <row r="1452" s="1639" customFormat="1"/>
    <row r="1453" s="1639" customFormat="1"/>
    <row r="1454" s="1639" customFormat="1"/>
    <row r="1455" s="1639" customFormat="1"/>
    <row r="1456" s="1639" customFormat="1"/>
    <row r="1457" s="1639" customFormat="1"/>
    <row r="1458" s="1639" customFormat="1"/>
    <row r="1459" s="1639" customFormat="1"/>
    <row r="1460" s="1639" customFormat="1"/>
    <row r="1461" s="1639" customFormat="1"/>
    <row r="1462" s="1639" customFormat="1"/>
    <row r="1463" s="1639" customFormat="1"/>
    <row r="1464" s="1639" customFormat="1"/>
    <row r="1465" s="1639" customFormat="1"/>
    <row r="1466" s="1639" customFormat="1"/>
    <row r="1467" s="1639" customFormat="1"/>
    <row r="1468" s="1639" customFormat="1"/>
    <row r="1469" s="1639" customFormat="1"/>
    <row r="1470" s="1639" customFormat="1"/>
    <row r="1471" s="1639" customFormat="1"/>
    <row r="1472" s="1639" customFormat="1"/>
    <row r="1473" s="1639" customFormat="1"/>
    <row r="1474" s="1639" customFormat="1"/>
    <row r="1475" s="1639" customFormat="1"/>
    <row r="1476" s="1639" customFormat="1"/>
    <row r="1477" s="1639" customFormat="1"/>
    <row r="1478" s="1639" customFormat="1"/>
    <row r="1479" s="1639" customFormat="1"/>
    <row r="1480" s="1639" customFormat="1"/>
    <row r="1481" s="1639" customFormat="1"/>
    <row r="1482" s="1639" customFormat="1"/>
    <row r="1483" s="1639" customFormat="1"/>
    <row r="1484" s="1639" customFormat="1"/>
    <row r="1485" s="1639" customFormat="1"/>
    <row r="1486" s="1639" customFormat="1"/>
    <row r="1487" s="1639" customFormat="1"/>
    <row r="1488" s="1639" customFormat="1"/>
    <row r="1489" s="1639" customFormat="1"/>
    <row r="1490" s="1639" customFormat="1"/>
    <row r="1491" s="1639" customFormat="1"/>
    <row r="1492" s="1639" customFormat="1"/>
    <row r="1493" s="1639" customFormat="1"/>
    <row r="1494" s="1639" customFormat="1"/>
    <row r="1495" s="1639" customFormat="1"/>
    <row r="1496" s="1639" customFormat="1"/>
    <row r="1497" s="1639" customFormat="1"/>
    <row r="1498" s="1639" customFormat="1"/>
    <row r="1499" s="1639" customFormat="1"/>
    <row r="1500" s="1639" customFormat="1"/>
    <row r="1501" s="1639" customFormat="1"/>
    <row r="1502" s="1639" customFormat="1"/>
    <row r="1503" s="1639" customFormat="1"/>
    <row r="1504" s="1639" customFormat="1"/>
    <row r="1505" s="1639" customFormat="1"/>
    <row r="1506" s="1639" customFormat="1"/>
    <row r="1507" s="1639" customFormat="1"/>
    <row r="1508" s="1639" customFormat="1"/>
    <row r="1509" s="1639" customFormat="1"/>
    <row r="1510" s="1639" customFormat="1"/>
    <row r="1511" s="1639" customFormat="1"/>
    <row r="1512" s="1639" customFormat="1"/>
    <row r="1513" s="1639" customFormat="1"/>
    <row r="1514" s="1639" customFormat="1"/>
    <row r="1515" s="1639" customFormat="1"/>
    <row r="1516" s="1639" customFormat="1"/>
    <row r="1517" s="1639" customFormat="1"/>
    <row r="1518" s="1639" customFormat="1"/>
    <row r="1519" s="1639" customFormat="1"/>
    <row r="1520" s="1639" customFormat="1"/>
    <row r="1521" spans="1:3">
      <c r="A1521" s="1639"/>
      <c r="B1521" s="1639"/>
      <c r="C1521" s="1639"/>
    </row>
    <row r="1522" spans="1:3">
      <c r="A1522" s="1639"/>
      <c r="B1522" s="1639"/>
      <c r="C1522" s="1639"/>
    </row>
    <row r="1523" spans="1:3">
      <c r="A1523" s="1639"/>
      <c r="B1523" s="1639"/>
      <c r="C1523" s="1639"/>
    </row>
    <row r="1524" spans="1:3">
      <c r="A1524" s="1639"/>
      <c r="B1524" s="1639"/>
      <c r="C1524" s="1639"/>
    </row>
    <row r="1525" spans="1:3">
      <c r="A1525" s="1639"/>
      <c r="B1525" s="1639"/>
      <c r="C1525" s="1639"/>
    </row>
    <row r="1526" spans="1:3">
      <c r="A1526" s="1639"/>
      <c r="B1526" s="1639"/>
      <c r="C1526" s="1639"/>
    </row>
    <row r="1527" spans="1:3">
      <c r="A1527" s="1639"/>
      <c r="B1527" s="1639"/>
      <c r="C1527" s="1639"/>
    </row>
    <row r="1528" spans="1:3">
      <c r="A1528" s="1639"/>
      <c r="B1528" s="1639"/>
      <c r="C1528" s="1639"/>
    </row>
    <row r="1529" spans="1:3">
      <c r="A1529" s="1639"/>
      <c r="B1529" s="1639"/>
      <c r="C1529" s="1639"/>
    </row>
    <row r="1530" spans="1:3">
      <c r="A1530" s="1639"/>
      <c r="B1530" s="1639"/>
      <c r="C1530" s="1639"/>
    </row>
    <row r="1531" spans="1:3">
      <c r="A1531" s="1639"/>
      <c r="B1531" s="1639"/>
      <c r="C1531" s="1639"/>
    </row>
    <row r="1532" spans="1:3">
      <c r="A1532" s="1639"/>
      <c r="B1532" s="1639"/>
      <c r="C1532" s="1639"/>
    </row>
    <row r="1533" spans="1:3">
      <c r="A1533" s="1639"/>
      <c r="B1533" s="1639"/>
      <c r="C1533" s="1639"/>
    </row>
    <row r="1534" spans="1:3">
      <c r="A1534" s="1639"/>
      <c r="B1534" s="1639"/>
      <c r="C1534" s="1639"/>
    </row>
    <row r="1535" spans="1:3"/>
    <row r="1536" spans="1:3"/>
    <row r="1537" s="1639" customFormat="1"/>
    <row r="1538" s="1639" customFormat="1"/>
    <row r="1539" s="1639" customFormat="1"/>
    <row r="1540" s="1639" customFormat="1"/>
    <row r="1541" s="1639" customFormat="1"/>
    <row r="1542" s="1639" customFormat="1"/>
    <row r="1543" s="1639" customFormat="1"/>
    <row r="1544" s="1639" customFormat="1"/>
    <row r="1545" s="1639" customFormat="1"/>
    <row r="1546" s="1639" customFormat="1"/>
    <row r="1547" s="1639" customFormat="1"/>
    <row r="1548" s="1639" customFormat="1"/>
    <row r="1549" s="1639" customFormat="1"/>
    <row r="1550" s="1639" customFormat="1"/>
    <row r="1551" s="1639" customFormat="1"/>
    <row r="1552" s="1639" customFormat="1"/>
    <row r="1553" s="1639" customFormat="1"/>
    <row r="1554" s="1639" customFormat="1"/>
    <row r="1555" s="1639" customFormat="1"/>
    <row r="1556" s="1639" customFormat="1"/>
    <row r="1557" s="1639" customFormat="1"/>
    <row r="1558" s="1639" customFormat="1"/>
    <row r="1559" s="1639" customFormat="1"/>
    <row r="1560" s="1639" customFormat="1"/>
    <row r="1561" s="1639" customFormat="1"/>
    <row r="1562" s="1639" customFormat="1"/>
    <row r="1563" s="1639" customFormat="1"/>
    <row r="1564" s="1639" customFormat="1"/>
    <row r="1565" s="1639" customFormat="1"/>
    <row r="1566" s="1639" customFormat="1"/>
    <row r="1567" s="1639" customFormat="1"/>
    <row r="1568" s="1639" customFormat="1"/>
    <row r="1569" s="1639" customFormat="1"/>
    <row r="1570" s="1639" customFormat="1"/>
    <row r="1571" s="1639" customFormat="1"/>
    <row r="1572" s="1639" customFormat="1"/>
    <row r="1573" s="1639" customFormat="1"/>
    <row r="1574" s="1639" customFormat="1"/>
    <row r="1575" s="1639" customFormat="1"/>
    <row r="1576" s="1639" customFormat="1"/>
    <row r="1577" s="1639" customFormat="1"/>
    <row r="1578" s="1639" customFormat="1"/>
    <row r="1579" s="1639" customFormat="1"/>
    <row r="1580" s="1639" customFormat="1"/>
    <row r="1581" s="1639" customFormat="1"/>
    <row r="1582" s="1639" customFormat="1"/>
    <row r="1583" s="1639" customFormat="1"/>
    <row r="1584" s="1639" customFormat="1"/>
    <row r="1585" s="1639" customFormat="1"/>
    <row r="1586" s="1639" customFormat="1"/>
    <row r="1587" s="1639" customFormat="1"/>
    <row r="1588" s="1639" customFormat="1"/>
    <row r="1589" s="1639" customFormat="1"/>
    <row r="1590" s="1639" customFormat="1"/>
    <row r="1591" s="1639" customFormat="1"/>
    <row r="1592" s="1639" customFormat="1"/>
    <row r="1593" s="1639" customFormat="1"/>
    <row r="1594" s="1639" customFormat="1"/>
    <row r="1595" s="1639" customFormat="1"/>
    <row r="1596" s="1639" customFormat="1"/>
    <row r="1597" s="1639" customFormat="1"/>
    <row r="1598" s="1639" customFormat="1"/>
    <row r="1599" s="1639" customFormat="1"/>
    <row r="1600" s="1639" customFormat="1"/>
    <row r="1601" s="1639" customFormat="1"/>
    <row r="1602" s="1639" customFormat="1"/>
    <row r="1603" s="1639" customFormat="1"/>
    <row r="1604" s="1639" customFormat="1"/>
    <row r="1605" s="1639" customFormat="1"/>
    <row r="1606" s="1639" customFormat="1"/>
    <row r="1607" s="1639" customFormat="1"/>
    <row r="1608" s="1639" customFormat="1"/>
    <row r="1609" s="1639" customFormat="1"/>
    <row r="1610" s="1639" customFormat="1"/>
    <row r="1611" s="1639" customFormat="1"/>
    <row r="1612" s="1639" customFormat="1"/>
    <row r="1613" s="1639" customFormat="1"/>
    <row r="1614" s="1639" customFormat="1"/>
    <row r="1615" s="1639" customFormat="1"/>
    <row r="1616" s="1639" customFormat="1"/>
    <row r="1617" s="1639" customFormat="1"/>
    <row r="1618" s="1639" customFormat="1"/>
    <row r="1619" s="1639" customFormat="1"/>
    <row r="1620" s="1639" customFormat="1"/>
    <row r="1621" s="1639" customFormat="1"/>
    <row r="1622" s="1639" customFormat="1"/>
    <row r="1623" s="1639" customFormat="1"/>
    <row r="1624" s="1639" customFormat="1"/>
    <row r="1625" s="1639" customFormat="1"/>
    <row r="1626" s="1639" customFormat="1"/>
    <row r="1627" s="1639" customFormat="1"/>
    <row r="1628" s="1639" customFormat="1"/>
    <row r="1629" s="1639" customFormat="1"/>
    <row r="1630" s="1639" customFormat="1"/>
    <row r="1631" s="1639" customFormat="1"/>
    <row r="1632" s="1639" customFormat="1"/>
    <row r="1633" s="1639" customFormat="1"/>
    <row r="1634" s="1639" customFormat="1"/>
    <row r="1635" s="1639" customFormat="1"/>
    <row r="1636" s="1639" customFormat="1"/>
    <row r="1637" s="1639" customFormat="1"/>
    <row r="1638" s="1639" customFormat="1"/>
    <row r="1639" s="1639" customFormat="1"/>
    <row r="1640" s="1639" customFormat="1"/>
    <row r="1641" s="1639" customFormat="1"/>
    <row r="1642" s="1639" customFormat="1"/>
    <row r="1643" s="1639" customFormat="1"/>
    <row r="1644" s="1639" customFormat="1"/>
    <row r="1645" s="1639" customFormat="1"/>
    <row r="1646" s="1639" customFormat="1"/>
    <row r="1647" s="1639" customFormat="1"/>
    <row r="1648" s="1639" customFormat="1"/>
    <row r="1649" s="1639" customFormat="1"/>
    <row r="1650" s="1639" customFormat="1"/>
    <row r="1651" s="1639" customFormat="1"/>
    <row r="1652" s="1639" customFormat="1"/>
    <row r="1653" s="1639" customFormat="1"/>
    <row r="1654" s="1639" customFormat="1"/>
    <row r="1655" s="1639" customFormat="1"/>
    <row r="1656" s="1639" customFormat="1"/>
    <row r="1657" s="1639" customFormat="1"/>
    <row r="1658" s="1639" customFormat="1"/>
    <row r="1659" s="1639" customFormat="1"/>
    <row r="1660" s="1639" customFormat="1"/>
    <row r="1661" s="1639" customFormat="1"/>
    <row r="1662" s="1639" customFormat="1"/>
    <row r="1663" s="1639" customFormat="1"/>
    <row r="1664" s="1639" customFormat="1"/>
    <row r="1665" spans="1:3">
      <c r="A1665" s="1639"/>
      <c r="B1665" s="1639"/>
      <c r="C1665" s="1639"/>
    </row>
    <row r="1666" spans="1:3">
      <c r="A1666" s="1639"/>
      <c r="B1666" s="1639"/>
      <c r="C1666" s="1639"/>
    </row>
    <row r="1667" spans="1:3">
      <c r="A1667" s="1639"/>
      <c r="B1667" s="1639"/>
      <c r="C1667" s="1639"/>
    </row>
    <row r="1668" spans="1:3">
      <c r="A1668" s="1639"/>
      <c r="B1668" s="1639"/>
      <c r="C1668" s="1639"/>
    </row>
    <row r="1669" spans="1:3">
      <c r="A1669" s="1639"/>
      <c r="B1669" s="1639"/>
      <c r="C1669" s="1639"/>
    </row>
    <row r="1670" spans="1:3">
      <c r="A1670" s="1639"/>
      <c r="B1670" s="1639"/>
      <c r="C1670" s="1639"/>
    </row>
    <row r="1671" spans="1:3">
      <c r="A1671" s="1639"/>
      <c r="B1671" s="1639"/>
      <c r="C1671" s="1639"/>
    </row>
    <row r="1672" spans="1:3">
      <c r="A1672" s="1639"/>
      <c r="B1672" s="1639"/>
      <c r="C1672" s="1639"/>
    </row>
    <row r="1673" spans="1:3">
      <c r="A1673" s="1639"/>
      <c r="B1673" s="1639"/>
      <c r="C1673" s="1639"/>
    </row>
    <row r="1674" spans="1:3">
      <c r="A1674" s="1639"/>
      <c r="B1674" s="1639"/>
      <c r="C1674" s="1639"/>
    </row>
    <row r="1675" spans="1:3">
      <c r="A1675" s="1639"/>
      <c r="B1675" s="1639"/>
      <c r="C1675" s="1639"/>
    </row>
    <row r="1676" spans="1:3">
      <c r="A1676" s="1639"/>
      <c r="B1676" s="1639"/>
      <c r="C1676" s="1639"/>
    </row>
    <row r="1677" spans="1:3">
      <c r="A1677" s="1639"/>
      <c r="B1677" s="1639"/>
      <c r="C1677" s="1639"/>
    </row>
    <row r="1678" spans="1:3">
      <c r="A1678" s="1639"/>
      <c r="B1678" s="1639"/>
      <c r="C1678" s="1639"/>
    </row>
    <row r="1679" spans="1:3">
      <c r="A1679" s="1639"/>
      <c r="B1679" s="1639"/>
      <c r="C1679" s="1639"/>
    </row>
    <row r="1680" spans="1:3"/>
    <row r="1681" spans="7:9"/>
    <row r="1682" spans="7:9"/>
    <row r="1683" spans="7:9">
      <c r="G1683" s="1798"/>
      <c r="H1683" s="1798"/>
      <c r="I1683" s="1798"/>
    </row>
    <row r="1684" spans="7:9"/>
    <row r="1685" spans="7:9"/>
    <row r="1686" spans="7:9"/>
    <row r="1687" spans="7:9"/>
    <row r="1688" spans="7:9"/>
    <row r="1689" spans="7:9"/>
    <row r="1690" spans="7:9"/>
    <row r="1691" spans="7:9"/>
    <row r="1692" spans="7:9"/>
    <row r="1693" spans="7:9"/>
    <row r="1694" spans="7:9"/>
    <row r="1695" spans="7:9"/>
    <row r="1696" spans="7:9"/>
    <row r="1697" spans="4:7" s="1702" customFormat="1">
      <c r="D1697" s="1639"/>
      <c r="E1697" s="1639"/>
      <c r="F1697" s="1639"/>
      <c r="G1697" s="1639"/>
    </row>
    <row r="1698" spans="4:7" s="1702" customFormat="1">
      <c r="D1698" s="1639"/>
      <c r="E1698" s="1639"/>
      <c r="F1698" s="1639"/>
      <c r="G1698" s="1639"/>
    </row>
    <row r="1699" spans="4:7" s="1702" customFormat="1">
      <c r="D1699" s="1639"/>
      <c r="E1699" s="1639"/>
      <c r="F1699" s="1639"/>
      <c r="G1699" s="1639"/>
    </row>
    <row r="1700" spans="4:7" s="1702" customFormat="1">
      <c r="D1700" s="1639"/>
      <c r="E1700" s="1639"/>
      <c r="F1700" s="1639"/>
      <c r="G1700" s="1639"/>
    </row>
    <row r="1701" spans="4:7" s="1702" customFormat="1">
      <c r="D1701" s="1639"/>
      <c r="E1701" s="1639"/>
      <c r="F1701" s="1639"/>
      <c r="G1701" s="1639"/>
    </row>
    <row r="1702" spans="4:7" s="1702" customFormat="1">
      <c r="D1702" s="1639"/>
      <c r="E1702" s="1639"/>
      <c r="F1702" s="1639"/>
      <c r="G1702" s="1639"/>
    </row>
    <row r="1703" spans="4:7" s="1702" customFormat="1">
      <c r="D1703" s="1639"/>
      <c r="E1703" s="1639"/>
      <c r="F1703" s="1639"/>
      <c r="G1703" s="1639"/>
    </row>
    <row r="1704" spans="4:7" s="1702" customFormat="1">
      <c r="D1704" s="1639"/>
      <c r="E1704" s="1639"/>
      <c r="F1704" s="1639"/>
      <c r="G1704" s="1639"/>
    </row>
    <row r="1705" spans="4:7" s="1702" customFormat="1">
      <c r="D1705" s="1639"/>
      <c r="E1705" s="1639"/>
      <c r="F1705" s="1639"/>
      <c r="G1705" s="1639"/>
    </row>
    <row r="1706" spans="4:7" s="1702" customFormat="1">
      <c r="D1706" s="1639"/>
      <c r="E1706" s="1639"/>
      <c r="F1706" s="1639"/>
      <c r="G1706" s="1639"/>
    </row>
    <row r="1707" spans="4:7" s="1702" customFormat="1">
      <c r="D1707" s="1639"/>
      <c r="E1707" s="1639"/>
      <c r="F1707" s="1639"/>
      <c r="G1707" s="1639"/>
    </row>
    <row r="1708" spans="4:7" s="1702" customFormat="1">
      <c r="D1708" s="1639"/>
      <c r="E1708" s="1639"/>
      <c r="F1708" s="1639"/>
      <c r="G1708" s="1639"/>
    </row>
    <row r="1709" spans="4:7" s="1702" customFormat="1">
      <c r="D1709" s="1639"/>
      <c r="E1709" s="1639"/>
      <c r="F1709" s="1639"/>
      <c r="G1709" s="1639"/>
    </row>
    <row r="1710" spans="4:7" s="1702" customFormat="1">
      <c r="D1710" s="1639"/>
      <c r="E1710" s="1639"/>
      <c r="F1710" s="1639"/>
      <c r="G1710" s="1639"/>
    </row>
    <row r="1711" spans="4:7" s="1702" customFormat="1">
      <c r="D1711" s="1639"/>
      <c r="E1711" s="1639"/>
      <c r="F1711" s="1639"/>
      <c r="G1711" s="1639"/>
    </row>
    <row r="1712" spans="4:7" s="1702" customFormat="1">
      <c r="D1712" s="1639"/>
      <c r="E1712" s="1639"/>
      <c r="F1712" s="1639"/>
      <c r="G1712" s="1639"/>
    </row>
    <row r="1713" spans="4:7" s="1702" customFormat="1">
      <c r="D1713" s="1639"/>
      <c r="E1713" s="1639"/>
      <c r="F1713" s="1639"/>
      <c r="G1713" s="1639"/>
    </row>
    <row r="1714" spans="4:7" s="1702" customFormat="1">
      <c r="D1714" s="1639"/>
      <c r="E1714" s="1639"/>
      <c r="F1714" s="1639"/>
      <c r="G1714" s="1639"/>
    </row>
    <row r="1715" spans="4:7" s="1702" customFormat="1">
      <c r="D1715" s="1639"/>
      <c r="E1715" s="1639"/>
      <c r="F1715" s="1639"/>
      <c r="G1715" s="1639"/>
    </row>
    <row r="1716" spans="4:7" s="1702" customFormat="1">
      <c r="D1716" s="1639"/>
      <c r="E1716" s="1639"/>
      <c r="F1716" s="1639"/>
      <c r="G1716" s="1639"/>
    </row>
    <row r="1717" spans="4:7" s="1702" customFormat="1">
      <c r="D1717" s="1639"/>
      <c r="E1717" s="1639"/>
      <c r="F1717" s="1639"/>
      <c r="G1717" s="1639"/>
    </row>
    <row r="1718" spans="4:7" s="1702" customFormat="1">
      <c r="D1718" s="1639"/>
      <c r="E1718" s="1639"/>
      <c r="F1718" s="1639"/>
      <c r="G1718" s="1639"/>
    </row>
    <row r="1719" spans="4:7" s="1702" customFormat="1">
      <c r="D1719" s="1639"/>
      <c r="E1719" s="1639"/>
      <c r="F1719" s="1639"/>
      <c r="G1719" s="1639"/>
    </row>
    <row r="1720" spans="4:7" s="1702" customFormat="1">
      <c r="D1720" s="1639"/>
      <c r="E1720" s="1639"/>
      <c r="F1720" s="1639"/>
      <c r="G1720" s="1639"/>
    </row>
    <row r="1721" spans="4:7" s="1702" customFormat="1">
      <c r="D1721" s="1639"/>
      <c r="E1721" s="1639"/>
      <c r="F1721" s="1639"/>
      <c r="G1721" s="1639"/>
    </row>
    <row r="1722" spans="4:7" s="1702" customFormat="1">
      <c r="D1722" s="1639"/>
      <c r="E1722" s="1639"/>
      <c r="F1722" s="1639"/>
      <c r="G1722" s="1639"/>
    </row>
    <row r="1723" spans="4:7" s="1702" customFormat="1">
      <c r="D1723" s="1639"/>
      <c r="E1723" s="1639"/>
      <c r="F1723" s="1639"/>
      <c r="G1723" s="1639"/>
    </row>
    <row r="1724" spans="4:7" s="1702" customFormat="1">
      <c r="D1724" s="1639"/>
      <c r="E1724" s="1639"/>
      <c r="F1724" s="1639"/>
      <c r="G1724" s="1639"/>
    </row>
    <row r="1725" spans="4:7" s="1702" customFormat="1">
      <c r="D1725" s="1639"/>
      <c r="E1725" s="1639"/>
      <c r="F1725" s="1639"/>
      <c r="G1725" s="1639"/>
    </row>
    <row r="1726" spans="4:7" s="1702" customFormat="1">
      <c r="D1726" s="1639"/>
      <c r="E1726" s="1639"/>
      <c r="F1726" s="1639"/>
      <c r="G1726" s="1639"/>
    </row>
    <row r="1727" spans="4:7" s="1702" customFormat="1">
      <c r="D1727" s="1639"/>
      <c r="E1727" s="1639"/>
      <c r="F1727" s="1639"/>
      <c r="G1727" s="1639"/>
    </row>
    <row r="1728" spans="4:7" s="1702" customFormat="1">
      <c r="D1728" s="1639"/>
      <c r="E1728" s="1639"/>
      <c r="F1728" s="1639"/>
      <c r="G1728" s="1639"/>
    </row>
    <row r="1729" spans="4:7" s="1702" customFormat="1">
      <c r="D1729" s="1639"/>
      <c r="E1729" s="1639"/>
      <c r="F1729" s="1639"/>
      <c r="G1729" s="1639"/>
    </row>
    <row r="1730" spans="4:7" s="1702" customFormat="1">
      <c r="D1730" s="1639"/>
      <c r="E1730" s="1639"/>
      <c r="F1730" s="1639"/>
      <c r="G1730" s="1639"/>
    </row>
    <row r="1731" spans="4:7" s="1702" customFormat="1">
      <c r="D1731" s="1639"/>
      <c r="E1731" s="1639"/>
      <c r="F1731" s="1639"/>
      <c r="G1731" s="1639"/>
    </row>
    <row r="1732" spans="4:7" s="1702" customFormat="1">
      <c r="D1732" s="1639"/>
      <c r="E1732" s="1639"/>
      <c r="F1732" s="1639"/>
      <c r="G1732" s="1639"/>
    </row>
    <row r="1733" spans="4:7" s="1702" customFormat="1">
      <c r="D1733" s="1639"/>
      <c r="E1733" s="1639"/>
      <c r="F1733" s="1639"/>
      <c r="G1733" s="1639"/>
    </row>
    <row r="1734" spans="4:7" s="1702" customFormat="1">
      <c r="D1734" s="1639"/>
      <c r="E1734" s="1639"/>
      <c r="F1734" s="1639"/>
      <c r="G1734" s="1639"/>
    </row>
    <row r="1735" spans="4:7" s="1702" customFormat="1">
      <c r="D1735" s="1639"/>
      <c r="E1735" s="1639"/>
      <c r="F1735" s="1639"/>
      <c r="G1735" s="1639"/>
    </row>
    <row r="1736" spans="4:7" s="1702" customFormat="1">
      <c r="D1736" s="1639"/>
      <c r="E1736" s="1639"/>
      <c r="F1736" s="1639"/>
      <c r="G1736" s="1639"/>
    </row>
    <row r="1737" spans="4:7" s="1702" customFormat="1">
      <c r="D1737" s="1639"/>
      <c r="E1737" s="1639"/>
      <c r="F1737" s="1639"/>
      <c r="G1737" s="1639"/>
    </row>
    <row r="1738" spans="4:7" s="1702" customFormat="1">
      <c r="D1738" s="1639"/>
      <c r="E1738" s="1639"/>
      <c r="F1738" s="1639"/>
      <c r="G1738" s="1639"/>
    </row>
    <row r="1739" spans="4:7" s="1702" customFormat="1">
      <c r="D1739" s="1639"/>
      <c r="E1739" s="1639"/>
      <c r="F1739" s="1639"/>
      <c r="G1739" s="1639"/>
    </row>
    <row r="1740" spans="4:7" s="1702" customFormat="1">
      <c r="D1740" s="1639"/>
      <c r="E1740" s="1639"/>
      <c r="F1740" s="1639"/>
      <c r="G1740" s="1639"/>
    </row>
    <row r="1741" spans="4:7" s="1702" customFormat="1">
      <c r="D1741" s="1639"/>
      <c r="E1741" s="1639"/>
      <c r="F1741" s="1639"/>
      <c r="G1741" s="1639"/>
    </row>
    <row r="1742" spans="4:7" s="1702" customFormat="1">
      <c r="D1742" s="1639"/>
      <c r="E1742" s="1639"/>
      <c r="F1742" s="1639"/>
      <c r="G1742" s="1639"/>
    </row>
    <row r="1743" spans="4:7" s="1702" customFormat="1">
      <c r="D1743" s="1639"/>
      <c r="E1743" s="1639"/>
      <c r="F1743" s="1639"/>
      <c r="G1743" s="1639"/>
    </row>
    <row r="1744" spans="4:7" s="1702" customFormat="1">
      <c r="D1744" s="1639"/>
      <c r="E1744" s="1639"/>
      <c r="F1744" s="1639"/>
      <c r="G1744" s="1639"/>
    </row>
    <row r="1745" spans="4:7" s="1702" customFormat="1">
      <c r="D1745" s="1639"/>
      <c r="E1745" s="1639"/>
      <c r="F1745" s="1639"/>
      <c r="G1745" s="1639"/>
    </row>
    <row r="1746" spans="4:7" s="1702" customFormat="1">
      <c r="D1746" s="1639"/>
      <c r="E1746" s="1639"/>
      <c r="F1746" s="1639"/>
      <c r="G1746" s="1639"/>
    </row>
    <row r="1747" spans="4:7" s="1702" customFormat="1">
      <c r="D1747" s="1639"/>
      <c r="E1747" s="1639"/>
      <c r="F1747" s="1639"/>
      <c r="G1747" s="1639"/>
    </row>
    <row r="1748" spans="4:7" s="1702" customFormat="1">
      <c r="D1748" s="1639"/>
      <c r="E1748" s="1639"/>
      <c r="F1748" s="1639"/>
      <c r="G1748" s="1639"/>
    </row>
    <row r="1749" spans="4:7" s="1702" customFormat="1">
      <c r="D1749" s="1639"/>
      <c r="E1749" s="1639"/>
      <c r="F1749" s="1639"/>
      <c r="G1749" s="1639"/>
    </row>
    <row r="1750" spans="4:7" s="1702" customFormat="1">
      <c r="D1750" s="1639"/>
      <c r="E1750" s="1639"/>
      <c r="F1750" s="1639"/>
      <c r="G1750" s="1639"/>
    </row>
    <row r="1751" spans="4:7" s="1702" customFormat="1">
      <c r="D1751" s="1639"/>
      <c r="E1751" s="1639"/>
      <c r="F1751" s="1639"/>
      <c r="G1751" s="1639"/>
    </row>
    <row r="1752" spans="4:7" s="1702" customFormat="1">
      <c r="D1752" s="1639"/>
      <c r="E1752" s="1639"/>
      <c r="F1752" s="1639"/>
      <c r="G1752" s="1639"/>
    </row>
    <row r="1753" spans="4:7" s="1702" customFormat="1">
      <c r="D1753" s="1639"/>
      <c r="E1753" s="1639"/>
      <c r="F1753" s="1639"/>
      <c r="G1753" s="1639"/>
    </row>
    <row r="1754" spans="4:7" s="1702" customFormat="1">
      <c r="D1754" s="1639"/>
      <c r="E1754" s="1639"/>
      <c r="F1754" s="1639"/>
      <c r="G1754" s="1639"/>
    </row>
    <row r="1755" spans="4:7" s="1702" customFormat="1">
      <c r="D1755" s="1639"/>
      <c r="E1755" s="1639"/>
      <c r="F1755" s="1639"/>
      <c r="G1755" s="1639"/>
    </row>
    <row r="1756" spans="4:7" s="1702" customFormat="1">
      <c r="D1756" s="1639"/>
      <c r="E1756" s="1639"/>
      <c r="F1756" s="1639"/>
      <c r="G1756" s="1639"/>
    </row>
    <row r="1757" spans="4:7" s="1702" customFormat="1">
      <c r="D1757" s="1639"/>
      <c r="E1757" s="1639"/>
      <c r="F1757" s="1639"/>
      <c r="G1757" s="1639"/>
    </row>
    <row r="1758" spans="4:7" s="1702" customFormat="1">
      <c r="D1758" s="1639"/>
      <c r="E1758" s="1639"/>
      <c r="F1758" s="1639"/>
      <c r="G1758" s="1639"/>
    </row>
    <row r="1759" spans="4:7" s="1702" customFormat="1">
      <c r="D1759" s="1639"/>
      <c r="E1759" s="1639"/>
      <c r="F1759" s="1639"/>
      <c r="G1759" s="1639"/>
    </row>
    <row r="1760" spans="4:7" s="1702" customFormat="1">
      <c r="D1760" s="1639"/>
      <c r="E1760" s="1639"/>
      <c r="F1760" s="1639"/>
      <c r="G1760" s="1639"/>
    </row>
    <row r="1761" spans="4:7" s="1702" customFormat="1">
      <c r="D1761" s="1639"/>
      <c r="E1761" s="1639"/>
      <c r="F1761" s="1639"/>
      <c r="G1761" s="1639"/>
    </row>
    <row r="1762" spans="4:7" s="1702" customFormat="1">
      <c r="D1762" s="1639"/>
      <c r="E1762" s="1639"/>
      <c r="F1762" s="1639"/>
      <c r="G1762" s="1639"/>
    </row>
    <row r="1763" spans="4:7" s="1702" customFormat="1">
      <c r="D1763" s="1639"/>
      <c r="E1763" s="1639"/>
      <c r="F1763" s="1639"/>
      <c r="G1763" s="1639"/>
    </row>
    <row r="1764" spans="4:7" s="1702" customFormat="1">
      <c r="D1764" s="1639"/>
      <c r="E1764" s="1639"/>
      <c r="F1764" s="1639"/>
      <c r="G1764" s="1639"/>
    </row>
    <row r="1765" spans="4:7" s="1702" customFormat="1">
      <c r="D1765" s="1639"/>
      <c r="E1765" s="1639"/>
      <c r="F1765" s="1639"/>
      <c r="G1765" s="1639"/>
    </row>
    <row r="1766" spans="4:7" s="1702" customFormat="1">
      <c r="D1766" s="1639"/>
      <c r="E1766" s="1639"/>
      <c r="F1766" s="1639"/>
      <c r="G1766" s="1639"/>
    </row>
    <row r="1767" spans="4:7" s="1702" customFormat="1">
      <c r="D1767" s="1639"/>
      <c r="E1767" s="1639"/>
      <c r="F1767" s="1639"/>
      <c r="G1767" s="1639"/>
    </row>
    <row r="1768" spans="4:7" s="1702" customFormat="1">
      <c r="D1768" s="1639"/>
      <c r="E1768" s="1639"/>
      <c r="F1768" s="1639"/>
      <c r="G1768" s="1639"/>
    </row>
    <row r="1769" spans="4:7" s="1702" customFormat="1">
      <c r="D1769" s="1639"/>
      <c r="E1769" s="1639"/>
      <c r="F1769" s="1639"/>
      <c r="G1769" s="1639"/>
    </row>
    <row r="1770" spans="4:7" s="1702" customFormat="1">
      <c r="D1770" s="1639"/>
      <c r="E1770" s="1639"/>
      <c r="F1770" s="1639"/>
      <c r="G1770" s="1639"/>
    </row>
    <row r="1771" spans="4:7" s="1702" customFormat="1">
      <c r="D1771" s="1639"/>
      <c r="E1771" s="1639"/>
      <c r="F1771" s="1639"/>
      <c r="G1771" s="1639"/>
    </row>
    <row r="1772" spans="4:7" s="1702" customFormat="1">
      <c r="D1772" s="1639"/>
      <c r="E1772" s="1639"/>
      <c r="F1772" s="1639"/>
      <c r="G1772" s="1639"/>
    </row>
    <row r="1773" spans="4:7" s="1702" customFormat="1">
      <c r="D1773" s="1639"/>
      <c r="E1773" s="1639"/>
      <c r="F1773" s="1639"/>
      <c r="G1773" s="1639"/>
    </row>
    <row r="1774" spans="4:7" s="1702" customFormat="1">
      <c r="D1774" s="1639"/>
      <c r="E1774" s="1639"/>
      <c r="F1774" s="1639"/>
      <c r="G1774" s="1639"/>
    </row>
    <row r="1775" spans="4:7" s="1702" customFormat="1">
      <c r="D1775" s="1639"/>
      <c r="E1775" s="1639"/>
      <c r="F1775" s="1639"/>
      <c r="G1775" s="1639"/>
    </row>
    <row r="1776" spans="4:7" s="1702" customFormat="1">
      <c r="D1776" s="1639"/>
      <c r="E1776" s="1639"/>
      <c r="F1776" s="1639"/>
      <c r="G1776" s="1639"/>
    </row>
    <row r="1777" spans="4:7" s="1702" customFormat="1">
      <c r="D1777" s="1639"/>
      <c r="E1777" s="1639"/>
      <c r="F1777" s="1639"/>
      <c r="G1777" s="1639"/>
    </row>
    <row r="1778" spans="4:7" s="1702" customFormat="1">
      <c r="D1778" s="1639"/>
      <c r="E1778" s="1639"/>
      <c r="F1778" s="1639"/>
      <c r="G1778" s="1639"/>
    </row>
    <row r="1779" spans="4:7" s="1702" customFormat="1">
      <c r="D1779" s="1639"/>
      <c r="E1779" s="1639"/>
      <c r="F1779" s="1639"/>
      <c r="G1779" s="1639"/>
    </row>
    <row r="1780" spans="4:7" s="1702" customFormat="1">
      <c r="D1780" s="1639"/>
      <c r="E1780" s="1639"/>
      <c r="F1780" s="1639"/>
      <c r="G1780" s="1639"/>
    </row>
    <row r="1781" spans="4:7" s="1702" customFormat="1">
      <c r="D1781" s="1639"/>
      <c r="E1781" s="1639"/>
      <c r="F1781" s="1639"/>
      <c r="G1781" s="1639"/>
    </row>
    <row r="1782" spans="4:7" s="1702" customFormat="1">
      <c r="D1782" s="1639"/>
      <c r="E1782" s="1639"/>
      <c r="F1782" s="1639"/>
      <c r="G1782" s="1639"/>
    </row>
    <row r="1783" spans="4:7" s="1702" customFormat="1">
      <c r="D1783" s="1639"/>
      <c r="E1783" s="1639"/>
      <c r="F1783" s="1639"/>
      <c r="G1783" s="1639"/>
    </row>
    <row r="1784" spans="4:7" s="1702" customFormat="1">
      <c r="D1784" s="1639"/>
      <c r="E1784" s="1639"/>
      <c r="F1784" s="1639"/>
      <c r="G1784" s="1639"/>
    </row>
    <row r="1785" spans="4:7" s="1702" customFormat="1">
      <c r="D1785" s="1639"/>
      <c r="E1785" s="1639"/>
      <c r="F1785" s="1639"/>
      <c r="G1785" s="1639"/>
    </row>
    <row r="1786" spans="4:7" s="1702" customFormat="1">
      <c r="D1786" s="1639"/>
      <c r="E1786" s="1639"/>
      <c r="F1786" s="1639"/>
      <c r="G1786" s="1639"/>
    </row>
    <row r="1787" spans="4:7" s="1702" customFormat="1">
      <c r="D1787" s="1639"/>
      <c r="E1787" s="1639"/>
      <c r="F1787" s="1639"/>
      <c r="G1787" s="1639"/>
    </row>
    <row r="1788" spans="4:7" s="1702" customFormat="1">
      <c r="D1788" s="1639"/>
      <c r="E1788" s="1639"/>
      <c r="F1788" s="1639"/>
      <c r="G1788" s="1639"/>
    </row>
    <row r="1789" spans="4:7" s="1702" customFormat="1">
      <c r="D1789" s="1639"/>
      <c r="E1789" s="1639"/>
      <c r="F1789" s="1639"/>
      <c r="G1789" s="1639"/>
    </row>
    <row r="1790" spans="4:7" s="1702" customFormat="1">
      <c r="D1790" s="1639"/>
      <c r="E1790" s="1639"/>
      <c r="F1790" s="1639"/>
      <c r="G1790" s="1639"/>
    </row>
    <row r="1791" spans="4:7" s="1702" customFormat="1">
      <c r="D1791" s="1639"/>
      <c r="E1791" s="1639"/>
      <c r="F1791" s="1639"/>
      <c r="G1791" s="1639"/>
    </row>
    <row r="1792" spans="4:7" s="1702" customFormat="1">
      <c r="D1792" s="1639"/>
      <c r="E1792" s="1639"/>
      <c r="F1792" s="1639"/>
      <c r="G1792" s="1639"/>
    </row>
    <row r="1793" spans="4:7" s="1702" customFormat="1">
      <c r="D1793" s="1639"/>
      <c r="E1793" s="1639"/>
      <c r="F1793" s="1639"/>
      <c r="G1793" s="1639"/>
    </row>
    <row r="1794" spans="4:7" s="1702" customFormat="1">
      <c r="D1794" s="1639"/>
      <c r="E1794" s="1639"/>
      <c r="F1794" s="1639"/>
      <c r="G1794" s="1639"/>
    </row>
    <row r="1795" spans="4:7" s="1702" customFormat="1">
      <c r="D1795" s="1639"/>
      <c r="E1795" s="1639"/>
      <c r="F1795" s="1639"/>
      <c r="G1795" s="1639"/>
    </row>
    <row r="1796" spans="4:7" s="1702" customFormat="1">
      <c r="D1796" s="1639"/>
      <c r="E1796" s="1639"/>
      <c r="F1796" s="1639"/>
      <c r="G1796" s="1639"/>
    </row>
    <row r="1797" spans="4:7" s="1702" customFormat="1">
      <c r="D1797" s="1639"/>
      <c r="E1797" s="1639"/>
      <c r="F1797" s="1639"/>
      <c r="G1797" s="1639"/>
    </row>
    <row r="1798" spans="4:7" s="1702" customFormat="1">
      <c r="D1798" s="1639"/>
      <c r="E1798" s="1639"/>
      <c r="F1798" s="1639"/>
      <c r="G1798" s="1639"/>
    </row>
    <row r="1799" spans="4:7" s="1702" customFormat="1">
      <c r="D1799" s="1639"/>
      <c r="E1799" s="1639"/>
      <c r="F1799" s="1639"/>
      <c r="G1799" s="1639"/>
    </row>
    <row r="1800" spans="4:7" s="1702" customFormat="1">
      <c r="D1800" s="1639"/>
      <c r="E1800" s="1639"/>
      <c r="F1800" s="1639"/>
      <c r="G1800" s="1639"/>
    </row>
    <row r="1801" spans="4:7" s="1702" customFormat="1">
      <c r="D1801" s="1639"/>
      <c r="E1801" s="1639"/>
      <c r="F1801" s="1639"/>
      <c r="G1801" s="1639"/>
    </row>
    <row r="1802" spans="4:7" s="1702" customFormat="1">
      <c r="D1802" s="1639"/>
      <c r="E1802" s="1639"/>
      <c r="F1802" s="1639"/>
      <c r="G1802" s="1639"/>
    </row>
    <row r="1803" spans="4:7" s="1702" customFormat="1">
      <c r="D1803" s="1639"/>
      <c r="E1803" s="1639"/>
      <c r="F1803" s="1639"/>
      <c r="G1803" s="1639"/>
    </row>
    <row r="1804" spans="4:7" s="1702" customFormat="1">
      <c r="D1804" s="1639"/>
      <c r="E1804" s="1639"/>
      <c r="F1804" s="1639"/>
      <c r="G1804" s="1639"/>
    </row>
    <row r="1805" spans="4:7" s="1702" customFormat="1">
      <c r="D1805" s="1639"/>
      <c r="E1805" s="1639"/>
      <c r="F1805" s="1639"/>
      <c r="G1805" s="1639"/>
    </row>
    <row r="1806" spans="4:7" s="1702" customFormat="1">
      <c r="D1806" s="1639"/>
      <c r="E1806" s="1639"/>
      <c r="F1806" s="1639"/>
      <c r="G1806" s="1639"/>
    </row>
    <row r="1807" spans="4:7" s="1702" customFormat="1">
      <c r="D1807" s="1639"/>
      <c r="E1807" s="1639"/>
      <c r="F1807" s="1639"/>
      <c r="G1807" s="1639"/>
    </row>
    <row r="1808" spans="4:7" s="1702" customFormat="1">
      <c r="D1808" s="1639"/>
      <c r="E1808" s="1639"/>
      <c r="F1808" s="1639"/>
      <c r="G1808" s="1639"/>
    </row>
    <row r="1809" spans="4:7" s="1702" customFormat="1">
      <c r="D1809" s="1639"/>
      <c r="E1809" s="1639"/>
      <c r="F1809" s="1639"/>
      <c r="G1809" s="1639"/>
    </row>
    <row r="1810" spans="4:7" s="1702" customFormat="1">
      <c r="D1810" s="1639"/>
      <c r="E1810" s="1639"/>
      <c r="F1810" s="1639"/>
      <c r="G1810" s="1639"/>
    </row>
    <row r="1811" spans="4:7" s="1702" customFormat="1">
      <c r="D1811" s="1639"/>
      <c r="E1811" s="1639"/>
      <c r="F1811" s="1639"/>
      <c r="G1811" s="1639"/>
    </row>
    <row r="1812" spans="4:7" s="1702" customFormat="1">
      <c r="D1812" s="1639"/>
      <c r="E1812" s="1639"/>
      <c r="F1812" s="1639"/>
      <c r="G1812" s="1639"/>
    </row>
    <row r="1813" spans="4:7" s="1702" customFormat="1">
      <c r="D1813" s="1639"/>
      <c r="E1813" s="1639"/>
      <c r="F1813" s="1639"/>
      <c r="G1813" s="1639"/>
    </row>
    <row r="1814" spans="4:7" s="1702" customFormat="1">
      <c r="D1814" s="1639"/>
      <c r="E1814" s="1639"/>
      <c r="F1814" s="1639"/>
      <c r="G1814" s="1639"/>
    </row>
    <row r="1815" spans="4:7" s="1702" customFormat="1">
      <c r="D1815" s="1639"/>
      <c r="E1815" s="1639"/>
      <c r="F1815" s="1639"/>
      <c r="G1815" s="1639"/>
    </row>
    <row r="1816" spans="4:7" s="1702" customFormat="1">
      <c r="D1816" s="1639"/>
      <c r="E1816" s="1639"/>
      <c r="F1816" s="1639"/>
      <c r="G1816" s="1639"/>
    </row>
    <row r="1817" spans="4:7" s="1702" customFormat="1">
      <c r="D1817" s="1639"/>
      <c r="E1817" s="1639"/>
      <c r="F1817" s="1639"/>
      <c r="G1817" s="1639"/>
    </row>
    <row r="1818" spans="4:7" s="1702" customFormat="1">
      <c r="D1818" s="1639"/>
      <c r="E1818" s="1639"/>
      <c r="F1818" s="1639"/>
      <c r="G1818" s="1639"/>
    </row>
    <row r="1819" spans="4:7" s="1702" customFormat="1">
      <c r="D1819" s="1639"/>
      <c r="E1819" s="1639"/>
      <c r="F1819" s="1639"/>
      <c r="G1819" s="1639"/>
    </row>
    <row r="1820" spans="4:7" s="1702" customFormat="1">
      <c r="D1820" s="1639"/>
      <c r="E1820" s="1639"/>
      <c r="F1820" s="1639"/>
      <c r="G1820" s="1639"/>
    </row>
    <row r="1821" spans="4:7" s="1702" customFormat="1">
      <c r="D1821" s="1639"/>
      <c r="E1821" s="1639"/>
      <c r="F1821" s="1639"/>
      <c r="G1821" s="1639"/>
    </row>
    <row r="1822" spans="4:7" s="1702" customFormat="1">
      <c r="D1822" s="1639"/>
      <c r="E1822" s="1639"/>
      <c r="F1822" s="1639"/>
      <c r="G1822" s="1639"/>
    </row>
    <row r="1823" spans="4:7" s="1702" customFormat="1">
      <c r="D1823" s="1639"/>
      <c r="E1823" s="1639"/>
      <c r="F1823" s="1639"/>
      <c r="G1823" s="1639"/>
    </row>
    <row r="1824" spans="4:7" s="1702" customFormat="1">
      <c r="D1824" s="1639"/>
      <c r="E1824" s="1639"/>
      <c r="F1824" s="1639"/>
      <c r="G1824" s="1639"/>
    </row>
    <row r="1825" spans="4:7" s="1702" customFormat="1">
      <c r="D1825" s="1639"/>
      <c r="E1825" s="1639"/>
      <c r="F1825" s="1639"/>
      <c r="G1825" s="1639"/>
    </row>
    <row r="1826" spans="4:7" s="1702" customFormat="1">
      <c r="D1826" s="1639"/>
      <c r="E1826" s="1639"/>
      <c r="F1826" s="1639"/>
      <c r="G1826" s="1639"/>
    </row>
    <row r="1827" spans="4:7" s="1702" customFormat="1">
      <c r="D1827" s="1639"/>
      <c r="E1827" s="1639"/>
      <c r="F1827" s="1639"/>
      <c r="G1827" s="1639"/>
    </row>
    <row r="1828" spans="4:7" s="1702" customFormat="1">
      <c r="D1828" s="1639"/>
      <c r="E1828" s="1639"/>
      <c r="F1828" s="1639"/>
      <c r="G1828" s="1639"/>
    </row>
    <row r="1829" spans="4:7" s="1702" customFormat="1">
      <c r="D1829" s="1639"/>
      <c r="E1829" s="1639"/>
      <c r="F1829" s="1639"/>
      <c r="G1829" s="1639"/>
    </row>
    <row r="1830" spans="4:7" s="1702" customFormat="1">
      <c r="D1830" s="1639"/>
      <c r="E1830" s="1639"/>
      <c r="F1830" s="1639"/>
      <c r="G1830" s="1639"/>
    </row>
    <row r="1831" spans="4:7" s="1702" customFormat="1">
      <c r="D1831" s="1639"/>
      <c r="E1831" s="1639"/>
      <c r="F1831" s="1639"/>
      <c r="G1831" s="1639"/>
    </row>
    <row r="1832" spans="4:7" s="1702" customFormat="1">
      <c r="D1832" s="1639"/>
      <c r="E1832" s="1639"/>
      <c r="F1832" s="1639"/>
      <c r="G1832" s="1639"/>
    </row>
    <row r="1833" spans="4:7" s="1702" customFormat="1">
      <c r="D1833" s="1639"/>
      <c r="E1833" s="1639"/>
      <c r="F1833" s="1639"/>
      <c r="G1833" s="1639"/>
    </row>
    <row r="1834" spans="4:7" s="1702" customFormat="1">
      <c r="D1834" s="1639"/>
      <c r="E1834" s="1639"/>
      <c r="F1834" s="1639"/>
      <c r="G1834" s="1639"/>
    </row>
    <row r="1835" spans="4:7" s="1702" customFormat="1">
      <c r="D1835" s="1639"/>
      <c r="E1835" s="1639"/>
      <c r="F1835" s="1639"/>
      <c r="G1835" s="1639"/>
    </row>
    <row r="1836" spans="4:7" s="1702" customFormat="1">
      <c r="D1836" s="1639"/>
      <c r="E1836" s="1639"/>
      <c r="F1836" s="1639"/>
      <c r="G1836" s="1639"/>
    </row>
    <row r="1837" spans="4:7" s="1702" customFormat="1">
      <c r="D1837" s="1639"/>
      <c r="E1837" s="1639"/>
      <c r="F1837" s="1639"/>
      <c r="G1837" s="1639"/>
    </row>
    <row r="1838" spans="4:7" s="1702" customFormat="1">
      <c r="D1838" s="1639"/>
      <c r="E1838" s="1639"/>
      <c r="F1838" s="1639"/>
      <c r="G1838" s="1639"/>
    </row>
    <row r="1839" spans="4:7" s="1702" customFormat="1">
      <c r="D1839" s="1639"/>
      <c r="E1839" s="1639"/>
      <c r="F1839" s="1639"/>
      <c r="G1839" s="1639"/>
    </row>
    <row r="1840" spans="4:7" s="1702" customFormat="1">
      <c r="D1840" s="1639"/>
      <c r="E1840" s="1639"/>
      <c r="F1840" s="1639"/>
      <c r="G1840" s="1639"/>
    </row>
    <row r="1841" spans="4:7" s="1702" customFormat="1">
      <c r="D1841" s="1639"/>
      <c r="E1841" s="1639"/>
      <c r="F1841" s="1639"/>
      <c r="G1841" s="1639"/>
    </row>
    <row r="1842" spans="4:7" s="1702" customFormat="1">
      <c r="D1842" s="1639"/>
      <c r="E1842" s="1639"/>
      <c r="F1842" s="1639"/>
      <c r="G1842" s="1639"/>
    </row>
    <row r="1843" spans="4:7" s="1702" customFormat="1">
      <c r="D1843" s="1639"/>
      <c r="E1843" s="1639"/>
      <c r="F1843" s="1639"/>
      <c r="G1843" s="1639"/>
    </row>
    <row r="1844" spans="4:7" s="1702" customFormat="1">
      <c r="D1844" s="1639"/>
      <c r="E1844" s="1639"/>
      <c r="F1844" s="1639"/>
      <c r="G1844" s="1639"/>
    </row>
    <row r="1845" spans="4:7" s="1702" customFormat="1">
      <c r="D1845" s="1639"/>
      <c r="E1845" s="1639"/>
      <c r="F1845" s="1639"/>
      <c r="G1845" s="1639"/>
    </row>
    <row r="1846" spans="4:7" s="1702" customFormat="1">
      <c r="D1846" s="1639"/>
      <c r="E1846" s="1639"/>
      <c r="F1846" s="1639"/>
      <c r="G1846" s="1639"/>
    </row>
    <row r="1847" spans="4:7" s="1702" customFormat="1">
      <c r="D1847" s="1639"/>
      <c r="E1847" s="1639"/>
      <c r="F1847" s="1639"/>
      <c r="G1847" s="1639"/>
    </row>
    <row r="1848" spans="4:7" s="1702" customFormat="1">
      <c r="D1848" s="1639"/>
      <c r="E1848" s="1639"/>
      <c r="F1848" s="1639"/>
      <c r="G1848" s="1639"/>
    </row>
    <row r="1849" spans="4:7" s="1702" customFormat="1">
      <c r="D1849" s="1639"/>
      <c r="E1849" s="1639"/>
      <c r="F1849" s="1639"/>
      <c r="G1849" s="1639"/>
    </row>
    <row r="1850" spans="4:7" s="1702" customFormat="1">
      <c r="D1850" s="1639"/>
      <c r="E1850" s="1639"/>
      <c r="F1850" s="1639"/>
      <c r="G1850" s="1639"/>
    </row>
    <row r="1851" spans="4:7" s="1702" customFormat="1">
      <c r="D1851" s="1639"/>
      <c r="E1851" s="1639"/>
      <c r="F1851" s="1639"/>
      <c r="G1851" s="1639"/>
    </row>
    <row r="1852" spans="4:7" s="1702" customFormat="1">
      <c r="D1852" s="1639"/>
      <c r="E1852" s="1639"/>
      <c r="F1852" s="1639"/>
      <c r="G1852" s="1639"/>
    </row>
    <row r="1853" spans="4:7" s="1702" customFormat="1">
      <c r="D1853" s="1639"/>
      <c r="E1853" s="1639"/>
      <c r="F1853" s="1639"/>
      <c r="G1853" s="1639"/>
    </row>
    <row r="1854" spans="4:7" s="1702" customFormat="1">
      <c r="D1854" s="1639"/>
      <c r="E1854" s="1639"/>
      <c r="F1854" s="1639"/>
      <c r="G1854" s="1639"/>
    </row>
    <row r="1855" spans="4:7" s="1702" customFormat="1">
      <c r="D1855" s="1639"/>
      <c r="E1855" s="1639"/>
      <c r="F1855" s="1639"/>
      <c r="G1855" s="1639"/>
    </row>
    <row r="1856" spans="4:7" s="1702" customFormat="1">
      <c r="D1856" s="1639"/>
      <c r="E1856" s="1639"/>
      <c r="F1856" s="1639"/>
      <c r="G1856" s="1639"/>
    </row>
    <row r="1857" spans="4:7" s="1702" customFormat="1">
      <c r="D1857" s="1639"/>
      <c r="E1857" s="1639"/>
      <c r="F1857" s="1639"/>
      <c r="G1857" s="1639"/>
    </row>
    <row r="1858" spans="4:7" s="1702" customFormat="1">
      <c r="D1858" s="1639"/>
      <c r="E1858" s="1639"/>
      <c r="F1858" s="1639"/>
      <c r="G1858" s="1639"/>
    </row>
    <row r="1859" spans="4:7" s="1702" customFormat="1">
      <c r="D1859" s="1639"/>
      <c r="E1859" s="1639"/>
      <c r="F1859" s="1639"/>
      <c r="G1859" s="1639"/>
    </row>
    <row r="1860" spans="4:7" s="1702" customFormat="1">
      <c r="D1860" s="1639"/>
      <c r="E1860" s="1639"/>
      <c r="F1860" s="1639"/>
      <c r="G1860" s="1639"/>
    </row>
    <row r="1861" spans="4:7" s="1702" customFormat="1">
      <c r="D1861" s="1639"/>
      <c r="E1861" s="1639"/>
      <c r="F1861" s="1639"/>
      <c r="G1861" s="1639"/>
    </row>
    <row r="1862" spans="4:7" s="1702" customFormat="1">
      <c r="D1862" s="1639"/>
      <c r="E1862" s="1639"/>
      <c r="F1862" s="1639"/>
      <c r="G1862" s="1639"/>
    </row>
    <row r="1863" spans="4:7" s="1702" customFormat="1">
      <c r="D1863" s="1639"/>
      <c r="E1863" s="1639"/>
      <c r="F1863" s="1639"/>
      <c r="G1863" s="1639"/>
    </row>
    <row r="1864" spans="4:7" s="1702" customFormat="1">
      <c r="D1864" s="1639"/>
      <c r="E1864" s="1639"/>
      <c r="F1864" s="1639"/>
      <c r="G1864" s="1639"/>
    </row>
    <row r="1865" spans="4:7" s="1702" customFormat="1">
      <c r="D1865" s="1639"/>
      <c r="E1865" s="1639"/>
      <c r="F1865" s="1639"/>
      <c r="G1865" s="1639"/>
    </row>
    <row r="1866" spans="4:7" s="1702" customFormat="1">
      <c r="D1866" s="1639"/>
      <c r="E1866" s="1639"/>
      <c r="F1866" s="1639"/>
      <c r="G1866" s="1639"/>
    </row>
    <row r="1867" spans="4:7" s="1702" customFormat="1">
      <c r="D1867" s="1639"/>
      <c r="E1867" s="1639"/>
      <c r="F1867" s="1639"/>
      <c r="G1867" s="1639"/>
    </row>
    <row r="1868" spans="4:7" s="1702" customFormat="1">
      <c r="D1868" s="1639"/>
      <c r="E1868" s="1639"/>
      <c r="F1868" s="1639"/>
      <c r="G1868" s="1639"/>
    </row>
    <row r="1869" spans="4:7" s="1702" customFormat="1">
      <c r="D1869" s="1639"/>
      <c r="E1869" s="1639"/>
      <c r="F1869" s="1639"/>
      <c r="G1869" s="1639"/>
    </row>
    <row r="1870" spans="4:7" s="1702" customFormat="1">
      <c r="D1870" s="1639"/>
      <c r="E1870" s="1639"/>
      <c r="F1870" s="1639"/>
      <c r="G1870" s="1639"/>
    </row>
    <row r="1871" spans="4:7" s="1702" customFormat="1">
      <c r="D1871" s="1639"/>
      <c r="E1871" s="1639"/>
      <c r="F1871" s="1639"/>
      <c r="G1871" s="1639"/>
    </row>
    <row r="1872" spans="4:7" s="1702" customFormat="1">
      <c r="D1872" s="1639"/>
      <c r="E1872" s="1639"/>
      <c r="F1872" s="1639"/>
      <c r="G1872" s="1639"/>
    </row>
    <row r="1873" spans="4:7" s="1702" customFormat="1">
      <c r="D1873" s="1639"/>
      <c r="E1873" s="1639"/>
      <c r="F1873" s="1639"/>
      <c r="G1873" s="1639"/>
    </row>
    <row r="1874" spans="4:7" s="1702" customFormat="1">
      <c r="D1874" s="1639"/>
      <c r="E1874" s="1639"/>
      <c r="F1874" s="1639"/>
      <c r="G1874" s="1639"/>
    </row>
    <row r="1875" spans="4:7" s="1702" customFormat="1">
      <c r="D1875" s="1639"/>
      <c r="E1875" s="1639"/>
      <c r="F1875" s="1639"/>
      <c r="G1875" s="1639"/>
    </row>
    <row r="1876" spans="4:7" s="1702" customFormat="1">
      <c r="D1876" s="1639"/>
      <c r="E1876" s="1639"/>
      <c r="F1876" s="1639"/>
      <c r="G1876" s="1639"/>
    </row>
    <row r="1877" spans="4:7" s="1702" customFormat="1">
      <c r="D1877" s="1639"/>
      <c r="E1877" s="1639"/>
      <c r="F1877" s="1639"/>
      <c r="G1877" s="1639"/>
    </row>
    <row r="1878" spans="4:7" s="1702" customFormat="1">
      <c r="D1878" s="1639"/>
      <c r="E1878" s="1639"/>
      <c r="F1878" s="1639"/>
      <c r="G1878" s="1639"/>
    </row>
    <row r="1879" spans="4:7" s="1702" customFormat="1">
      <c r="D1879" s="1639"/>
      <c r="E1879" s="1639"/>
      <c r="F1879" s="1639"/>
      <c r="G1879" s="1639"/>
    </row>
    <row r="1880" spans="4:7" s="1702" customFormat="1">
      <c r="D1880" s="1639"/>
      <c r="E1880" s="1639"/>
      <c r="F1880" s="1639"/>
      <c r="G1880" s="1639"/>
    </row>
    <row r="1881" spans="4:7" s="1702" customFormat="1">
      <c r="D1881" s="1639"/>
      <c r="E1881" s="1639"/>
      <c r="F1881" s="1639"/>
      <c r="G1881" s="1639"/>
    </row>
    <row r="1882" spans="4:7" s="1702" customFormat="1">
      <c r="D1882" s="1639"/>
      <c r="E1882" s="1639"/>
      <c r="F1882" s="1639"/>
      <c r="G1882" s="1639"/>
    </row>
    <row r="1883" spans="4:7" s="1702" customFormat="1">
      <c r="D1883" s="1639"/>
      <c r="E1883" s="1639"/>
      <c r="F1883" s="1639"/>
      <c r="G1883" s="1639"/>
    </row>
    <row r="1884" spans="4:7" s="1702" customFormat="1">
      <c r="D1884" s="1639"/>
      <c r="E1884" s="1639"/>
      <c r="F1884" s="1639"/>
      <c r="G1884" s="1639"/>
    </row>
    <row r="1885" spans="4:7" s="1702" customFormat="1">
      <c r="D1885" s="1639"/>
      <c r="E1885" s="1639"/>
      <c r="F1885" s="1639"/>
      <c r="G1885" s="1639"/>
    </row>
    <row r="1886" spans="4:7" s="1702" customFormat="1">
      <c r="D1886" s="1639"/>
      <c r="E1886" s="1639"/>
      <c r="F1886" s="1639"/>
      <c r="G1886" s="1639"/>
    </row>
    <row r="1887" spans="4:7" s="1702" customFormat="1">
      <c r="D1887" s="1639"/>
      <c r="E1887" s="1639"/>
      <c r="F1887" s="1639"/>
      <c r="G1887" s="1639"/>
    </row>
    <row r="1888" spans="4:7" s="1702" customFormat="1">
      <c r="D1888" s="1639"/>
      <c r="E1888" s="1639"/>
      <c r="F1888" s="1639"/>
      <c r="G1888" s="1639"/>
    </row>
    <row r="1889" spans="4:7" s="1702" customFormat="1">
      <c r="D1889" s="1639"/>
      <c r="E1889" s="1639"/>
      <c r="F1889" s="1639"/>
      <c r="G1889" s="1639"/>
    </row>
    <row r="1890" spans="4:7" s="1702" customFormat="1">
      <c r="D1890" s="1639"/>
      <c r="E1890" s="1639"/>
      <c r="F1890" s="1639"/>
      <c r="G1890" s="1639"/>
    </row>
    <row r="1891" spans="4:7" s="1702" customFormat="1">
      <c r="D1891" s="1639"/>
      <c r="E1891" s="1639"/>
      <c r="F1891" s="1639"/>
      <c r="G1891" s="1639"/>
    </row>
    <row r="1892" spans="4:7" s="1702" customFormat="1">
      <c r="D1892" s="1639"/>
      <c r="E1892" s="1639"/>
      <c r="F1892" s="1639"/>
      <c r="G1892" s="1639"/>
    </row>
    <row r="1893" spans="4:7" s="1702" customFormat="1">
      <c r="D1893" s="1639"/>
      <c r="E1893" s="1639"/>
      <c r="F1893" s="1639"/>
      <c r="G1893" s="1639"/>
    </row>
    <row r="1894" spans="4:7" s="1702" customFormat="1">
      <c r="D1894" s="1639"/>
      <c r="E1894" s="1639"/>
      <c r="F1894" s="1639"/>
      <c r="G1894" s="1639"/>
    </row>
    <row r="1895" spans="4:7" s="1702" customFormat="1">
      <c r="D1895" s="1639"/>
      <c r="E1895" s="1639"/>
      <c r="F1895" s="1639"/>
      <c r="G1895" s="1639"/>
    </row>
    <row r="1896" spans="4:7" s="1702" customFormat="1">
      <c r="D1896" s="1639"/>
      <c r="E1896" s="1639"/>
      <c r="F1896" s="1639"/>
      <c r="G1896" s="1639"/>
    </row>
    <row r="1897" spans="4:7" s="1702" customFormat="1">
      <c r="D1897" s="1639"/>
      <c r="E1897" s="1639"/>
      <c r="F1897" s="1639"/>
      <c r="G1897" s="1639"/>
    </row>
    <row r="1898" spans="4:7" s="1702" customFormat="1">
      <c r="D1898" s="1639"/>
      <c r="E1898" s="1639"/>
      <c r="F1898" s="1639"/>
      <c r="G1898" s="1639"/>
    </row>
    <row r="1899" spans="4:7" s="1702" customFormat="1">
      <c r="D1899" s="1639"/>
      <c r="E1899" s="1639"/>
      <c r="F1899" s="1639"/>
      <c r="G1899" s="1639"/>
    </row>
    <row r="1900" spans="4:7" s="1702" customFormat="1">
      <c r="D1900" s="1639"/>
      <c r="E1900" s="1639"/>
      <c r="F1900" s="1639"/>
      <c r="G1900" s="1639"/>
    </row>
    <row r="1901" spans="4:7" s="1702" customFormat="1">
      <c r="D1901" s="1639"/>
      <c r="E1901" s="1639"/>
      <c r="F1901" s="1639"/>
      <c r="G1901" s="1639"/>
    </row>
    <row r="1902" spans="4:7" s="1702" customFormat="1">
      <c r="D1902" s="1639"/>
      <c r="E1902" s="1639"/>
      <c r="F1902" s="1639"/>
      <c r="G1902" s="1639"/>
    </row>
    <row r="1903" spans="4:7" s="1702" customFormat="1">
      <c r="D1903" s="1639"/>
      <c r="E1903" s="1639"/>
      <c r="F1903" s="1639"/>
      <c r="G1903" s="1639"/>
    </row>
    <row r="1904" spans="4:7" s="1702" customFormat="1">
      <c r="D1904" s="1639"/>
      <c r="E1904" s="1639"/>
      <c r="F1904" s="1639"/>
      <c r="G1904" s="1639"/>
    </row>
    <row r="1905" spans="4:7" s="1702" customFormat="1">
      <c r="D1905" s="1639"/>
      <c r="E1905" s="1639"/>
      <c r="F1905" s="1639"/>
      <c r="G1905" s="1639"/>
    </row>
    <row r="1906" spans="4:7" s="1702" customFormat="1">
      <c r="D1906" s="1639"/>
      <c r="E1906" s="1639"/>
      <c r="F1906" s="1639"/>
      <c r="G1906" s="1639"/>
    </row>
    <row r="1907" spans="4:7" s="1702" customFormat="1">
      <c r="D1907" s="1639"/>
      <c r="E1907" s="1639"/>
      <c r="F1907" s="1639"/>
      <c r="G1907" s="1639"/>
    </row>
    <row r="1908" spans="4:7" s="1702" customFormat="1">
      <c r="D1908" s="1639"/>
      <c r="E1908" s="1639"/>
      <c r="F1908" s="1639"/>
      <c r="G1908" s="1639"/>
    </row>
    <row r="1909" spans="4:7" s="1702" customFormat="1">
      <c r="D1909" s="1639"/>
      <c r="E1909" s="1639"/>
      <c r="F1909" s="1639"/>
      <c r="G1909" s="1639"/>
    </row>
    <row r="1910" spans="4:7" s="1702" customFormat="1">
      <c r="D1910" s="1639"/>
      <c r="E1910" s="1639"/>
      <c r="F1910" s="1639"/>
      <c r="G1910" s="1639"/>
    </row>
    <row r="1911" spans="4:7" s="1702" customFormat="1">
      <c r="D1911" s="1639"/>
      <c r="E1911" s="1639"/>
      <c r="F1911" s="1639"/>
      <c r="G1911" s="1639"/>
    </row>
    <row r="1912" spans="4:7" s="1702" customFormat="1">
      <c r="D1912" s="1639"/>
      <c r="E1912" s="1639"/>
      <c r="F1912" s="1639"/>
      <c r="G1912" s="1639"/>
    </row>
    <row r="1913" spans="4:7" s="1702" customFormat="1">
      <c r="D1913" s="1639"/>
      <c r="E1913" s="1639"/>
      <c r="F1913" s="1639"/>
      <c r="G1913" s="1639"/>
    </row>
    <row r="1914" spans="4:7" s="1702" customFormat="1">
      <c r="D1914" s="1639"/>
      <c r="E1914" s="1639"/>
      <c r="F1914" s="1639"/>
      <c r="G1914" s="1639"/>
    </row>
    <row r="1915" spans="4:7" s="1702" customFormat="1">
      <c r="D1915" s="1639"/>
      <c r="E1915" s="1639"/>
      <c r="F1915" s="1639"/>
      <c r="G1915" s="1639"/>
    </row>
    <row r="1916" spans="4:7" s="1702" customFormat="1">
      <c r="D1916" s="1639"/>
      <c r="E1916" s="1639"/>
      <c r="F1916" s="1639"/>
      <c r="G1916" s="1639"/>
    </row>
    <row r="1917" spans="4:7" s="1702" customFormat="1">
      <c r="D1917" s="1639"/>
      <c r="E1917" s="1639"/>
      <c r="F1917" s="1639"/>
      <c r="G1917" s="1639"/>
    </row>
    <row r="1918" spans="4:7" s="1702" customFormat="1">
      <c r="D1918" s="1639"/>
      <c r="E1918" s="1639"/>
      <c r="F1918" s="1639"/>
      <c r="G1918" s="1639"/>
    </row>
    <row r="1919" spans="4:7" s="1702" customFormat="1">
      <c r="D1919" s="1639"/>
      <c r="E1919" s="1639"/>
      <c r="F1919" s="1639"/>
      <c r="G1919" s="1639"/>
    </row>
    <row r="1920" spans="4:7" s="1702" customFormat="1">
      <c r="D1920" s="1639"/>
      <c r="E1920" s="1639"/>
      <c r="F1920" s="1639"/>
      <c r="G1920" s="1639"/>
    </row>
    <row r="1921" spans="4:7" s="1702" customFormat="1">
      <c r="D1921" s="1639"/>
      <c r="E1921" s="1639"/>
      <c r="F1921" s="1639"/>
      <c r="G1921" s="1639"/>
    </row>
    <row r="1922" spans="4:7" s="1702" customFormat="1">
      <c r="D1922" s="1639"/>
      <c r="E1922" s="1639"/>
      <c r="F1922" s="1639"/>
      <c r="G1922" s="1639"/>
    </row>
    <row r="1923" spans="4:7" s="1702" customFormat="1">
      <c r="D1923" s="1639"/>
      <c r="E1923" s="1639"/>
      <c r="F1923" s="1639"/>
      <c r="G1923" s="1639"/>
    </row>
    <row r="1924" spans="4:7" s="1702" customFormat="1">
      <c r="D1924" s="1639"/>
      <c r="E1924" s="1639"/>
      <c r="F1924" s="1639"/>
      <c r="G1924" s="1639"/>
    </row>
    <row r="1925" spans="4:7" s="1702" customFormat="1">
      <c r="D1925" s="1639"/>
      <c r="E1925" s="1639"/>
      <c r="F1925" s="1639"/>
      <c r="G1925" s="1639"/>
    </row>
    <row r="1926" spans="4:7" s="1702" customFormat="1">
      <c r="D1926" s="1639"/>
      <c r="E1926" s="1639"/>
      <c r="F1926" s="1639"/>
      <c r="G1926" s="1639"/>
    </row>
    <row r="1927" spans="4:7" s="1702" customFormat="1">
      <c r="D1927" s="1639"/>
      <c r="E1927" s="1639"/>
      <c r="F1927" s="1639"/>
      <c r="G1927" s="1639"/>
    </row>
    <row r="1928" spans="4:7" s="1702" customFormat="1">
      <c r="D1928" s="1639"/>
      <c r="E1928" s="1639"/>
      <c r="F1928" s="1639"/>
      <c r="G1928" s="1639"/>
    </row>
    <row r="1929" spans="4:7" s="1702" customFormat="1">
      <c r="D1929" s="1639"/>
      <c r="E1929" s="1639"/>
      <c r="F1929" s="1639"/>
      <c r="G1929" s="1639"/>
    </row>
    <row r="1930" spans="4:7" s="1702" customFormat="1">
      <c r="D1930" s="1639"/>
      <c r="E1930" s="1639"/>
      <c r="F1930" s="1639"/>
      <c r="G1930" s="1639"/>
    </row>
    <row r="1931" spans="4:7" s="1702" customFormat="1">
      <c r="D1931" s="1639"/>
      <c r="E1931" s="1639"/>
      <c r="F1931" s="1639"/>
      <c r="G1931" s="1639"/>
    </row>
    <row r="1932" spans="4:7" s="1702" customFormat="1">
      <c r="D1932" s="1639"/>
      <c r="E1932" s="1639"/>
      <c r="F1932" s="1639"/>
      <c r="G1932" s="1639"/>
    </row>
    <row r="1933" spans="4:7" s="1702" customFormat="1">
      <c r="D1933" s="1639"/>
      <c r="E1933" s="1639"/>
      <c r="F1933" s="1639"/>
      <c r="G1933" s="1639"/>
    </row>
    <row r="1934" spans="4:7" s="1702" customFormat="1">
      <c r="D1934" s="1639"/>
      <c r="E1934" s="1639"/>
      <c r="F1934" s="1639"/>
      <c r="G1934" s="1639"/>
    </row>
    <row r="1935" spans="4:7" s="1702" customFormat="1">
      <c r="D1935" s="1639"/>
      <c r="E1935" s="1639"/>
      <c r="F1935" s="1639"/>
      <c r="G1935" s="1639"/>
    </row>
  </sheetData>
  <sheetProtection algorithmName="SHA-512" hashValue="00lcw5/cN2zJiKnhlbbbu4NFdithYxMAibv/XvmPaQZGqZvT++eG8+KvBWKcs6QcujTFeIByJPKzKfB6y+UL4A==" saltValue="9CuzisqLWDHKj/pDBGig8w==" spinCount="100000" sheet="1" objects="1" scenarios="1"/>
  <mergeCells count="345">
    <mergeCell ref="D1196:F1199"/>
    <mergeCell ref="D1206:F1210"/>
    <mergeCell ref="A1212:G1212"/>
    <mergeCell ref="D1262:F1264"/>
    <mergeCell ref="D1266:F1268"/>
    <mergeCell ref="G1683:I1683"/>
    <mergeCell ref="D1232:F1235"/>
    <mergeCell ref="D1239:F1243"/>
    <mergeCell ref="A1246:G1246"/>
    <mergeCell ref="D1249:F1251"/>
    <mergeCell ref="D1253:F1254"/>
    <mergeCell ref="D1256:F1260"/>
    <mergeCell ref="A1180:G1180"/>
    <mergeCell ref="D1182:F1182"/>
    <mergeCell ref="D1183:F1183"/>
    <mergeCell ref="D1184:F1184"/>
    <mergeCell ref="D1186:F1186"/>
    <mergeCell ref="D1187:F1187"/>
    <mergeCell ref="D1188:F1188"/>
    <mergeCell ref="E1189:F1189"/>
    <mergeCell ref="A1191:G1191"/>
    <mergeCell ref="D1166:F1166"/>
    <mergeCell ref="D1168:F1169"/>
    <mergeCell ref="A1171:G1171"/>
    <mergeCell ref="D1173:F1173"/>
    <mergeCell ref="D1174:F1174"/>
    <mergeCell ref="D1176:F1176"/>
    <mergeCell ref="D1177:F1177"/>
    <mergeCell ref="D1178:F1178"/>
    <mergeCell ref="D1179:F1179"/>
    <mergeCell ref="D1135:F1142"/>
    <mergeCell ref="D1144:F1147"/>
    <mergeCell ref="D1149:F1150"/>
    <mergeCell ref="D1152:F1152"/>
    <mergeCell ref="D1154:F1154"/>
    <mergeCell ref="D1156:F1156"/>
    <mergeCell ref="D1158:F1159"/>
    <mergeCell ref="D1161:F1162"/>
    <mergeCell ref="D1164:F1164"/>
    <mergeCell ref="D1103:F1104"/>
    <mergeCell ref="D1106:F1106"/>
    <mergeCell ref="D1108:F1108"/>
    <mergeCell ref="D1110:F1111"/>
    <mergeCell ref="D1113:F1113"/>
    <mergeCell ref="D1115:F1128"/>
    <mergeCell ref="A1130:G1130"/>
    <mergeCell ref="D1132:F1132"/>
    <mergeCell ref="D1133:F1133"/>
    <mergeCell ref="D1068:F1068"/>
    <mergeCell ref="D1070:F1071"/>
    <mergeCell ref="D1073:F1074"/>
    <mergeCell ref="D1076:F1076"/>
    <mergeCell ref="D1078:F1084"/>
    <mergeCell ref="D1086:F1092"/>
    <mergeCell ref="D1094:F1096"/>
    <mergeCell ref="D1098:F1098"/>
    <mergeCell ref="D1100:F1101"/>
    <mergeCell ref="D1037:F1037"/>
    <mergeCell ref="D1039:F1042"/>
    <mergeCell ref="D1044:F1047"/>
    <mergeCell ref="D1049:F1051"/>
    <mergeCell ref="D1053:F1055"/>
    <mergeCell ref="D1057:F1057"/>
    <mergeCell ref="D1059:F1061"/>
    <mergeCell ref="D1063:F1065"/>
    <mergeCell ref="D1067:F1067"/>
    <mergeCell ref="D995:F995"/>
    <mergeCell ref="D997:F999"/>
    <mergeCell ref="D1001:F1003"/>
    <mergeCell ref="D1005:F1007"/>
    <mergeCell ref="D1009:F1011"/>
    <mergeCell ref="D1013:F1015"/>
    <mergeCell ref="D1017:F1019"/>
    <mergeCell ref="D1021:F1023"/>
    <mergeCell ref="D1025:F1035"/>
    <mergeCell ref="D962:F965"/>
    <mergeCell ref="D967:F967"/>
    <mergeCell ref="D969:F969"/>
    <mergeCell ref="D971:F971"/>
    <mergeCell ref="D973:F977"/>
    <mergeCell ref="D979:F983"/>
    <mergeCell ref="D985:F985"/>
    <mergeCell ref="D987:F989"/>
    <mergeCell ref="D991:F993"/>
    <mergeCell ref="D925:F926"/>
    <mergeCell ref="D928:F929"/>
    <mergeCell ref="D931:F931"/>
    <mergeCell ref="D933:F938"/>
    <mergeCell ref="D940:F944"/>
    <mergeCell ref="D946:F950"/>
    <mergeCell ref="D952:F954"/>
    <mergeCell ref="D956:F957"/>
    <mergeCell ref="D959:F960"/>
    <mergeCell ref="D880:F883"/>
    <mergeCell ref="A885:G885"/>
    <mergeCell ref="D887:F887"/>
    <mergeCell ref="D891:F891"/>
    <mergeCell ref="D892:F892"/>
    <mergeCell ref="D894:F900"/>
    <mergeCell ref="D902:F910"/>
    <mergeCell ref="D912:F918"/>
    <mergeCell ref="D920:F923"/>
    <mergeCell ref="D859:F859"/>
    <mergeCell ref="D861:F861"/>
    <mergeCell ref="E862:F862"/>
    <mergeCell ref="D864:F865"/>
    <mergeCell ref="D867:F868"/>
    <mergeCell ref="D869:F874"/>
    <mergeCell ref="D876:F876"/>
    <mergeCell ref="D877:F877"/>
    <mergeCell ref="E878:F878"/>
    <mergeCell ref="D823:F832"/>
    <mergeCell ref="D834:F836"/>
    <mergeCell ref="D838:F839"/>
    <mergeCell ref="D840:F845"/>
    <mergeCell ref="D847:F847"/>
    <mergeCell ref="D848:F848"/>
    <mergeCell ref="E849:F849"/>
    <mergeCell ref="D851:F854"/>
    <mergeCell ref="D858:F858"/>
    <mergeCell ref="D790:F792"/>
    <mergeCell ref="D794:F799"/>
    <mergeCell ref="D801:F806"/>
    <mergeCell ref="D808:F813"/>
    <mergeCell ref="A815:G815"/>
    <mergeCell ref="D817:F817"/>
    <mergeCell ref="D818:F818"/>
    <mergeCell ref="D820:F820"/>
    <mergeCell ref="E821:F821"/>
    <mergeCell ref="D760:F761"/>
    <mergeCell ref="D763:F765"/>
    <mergeCell ref="A767:G767"/>
    <mergeCell ref="D769:F769"/>
    <mergeCell ref="D770:F770"/>
    <mergeCell ref="D772:F774"/>
    <mergeCell ref="D776:F778"/>
    <mergeCell ref="D780:F782"/>
    <mergeCell ref="D784:F789"/>
    <mergeCell ref="D725:F728"/>
    <mergeCell ref="D730:F736"/>
    <mergeCell ref="D737:F737"/>
    <mergeCell ref="A739:G739"/>
    <mergeCell ref="D741:F741"/>
    <mergeCell ref="D742:F742"/>
    <mergeCell ref="D744:F749"/>
    <mergeCell ref="D751:F754"/>
    <mergeCell ref="D756:F758"/>
    <mergeCell ref="D684:F684"/>
    <mergeCell ref="E685:F685"/>
    <mergeCell ref="D687:F692"/>
    <mergeCell ref="D694:F695"/>
    <mergeCell ref="D697:F709"/>
    <mergeCell ref="D710:F711"/>
    <mergeCell ref="D713:F715"/>
    <mergeCell ref="D717:F719"/>
    <mergeCell ref="D721:F723"/>
    <mergeCell ref="A668:G668"/>
    <mergeCell ref="D670:F670"/>
    <mergeCell ref="D671:F671"/>
    <mergeCell ref="D672:F672"/>
    <mergeCell ref="D674:F674"/>
    <mergeCell ref="D675:F675"/>
    <mergeCell ref="E676:F677"/>
    <mergeCell ref="D679:F681"/>
    <mergeCell ref="D683:F683"/>
    <mergeCell ref="D632:F634"/>
    <mergeCell ref="D635:F635"/>
    <mergeCell ref="A637:G637"/>
    <mergeCell ref="D639:F639"/>
    <mergeCell ref="D640:F640"/>
    <mergeCell ref="D642:F645"/>
    <mergeCell ref="D647:F651"/>
    <mergeCell ref="D653:F656"/>
    <mergeCell ref="D658:F666"/>
    <mergeCell ref="D605:F605"/>
    <mergeCell ref="D607:F607"/>
    <mergeCell ref="D609:F610"/>
    <mergeCell ref="D612:F613"/>
    <mergeCell ref="D615:F616"/>
    <mergeCell ref="A618:G618"/>
    <mergeCell ref="D620:F620"/>
    <mergeCell ref="D622:F627"/>
    <mergeCell ref="D629:F630"/>
    <mergeCell ref="D584:F585"/>
    <mergeCell ref="D587:F588"/>
    <mergeCell ref="D590:F590"/>
    <mergeCell ref="A592:G592"/>
    <mergeCell ref="D594:F594"/>
    <mergeCell ref="D595:F595"/>
    <mergeCell ref="D597:F599"/>
    <mergeCell ref="A601:G601"/>
    <mergeCell ref="D603:F604"/>
    <mergeCell ref="D558:F558"/>
    <mergeCell ref="D559:F561"/>
    <mergeCell ref="D563:F566"/>
    <mergeCell ref="A568:G568"/>
    <mergeCell ref="D570:F570"/>
    <mergeCell ref="D571:F571"/>
    <mergeCell ref="D573:F573"/>
    <mergeCell ref="D575:F578"/>
    <mergeCell ref="D579:F582"/>
    <mergeCell ref="D535:F536"/>
    <mergeCell ref="D538:F539"/>
    <mergeCell ref="D541:F542"/>
    <mergeCell ref="D544:F546"/>
    <mergeCell ref="D548:F549"/>
    <mergeCell ref="D551:F552"/>
    <mergeCell ref="D554:F554"/>
    <mergeCell ref="D555:F555"/>
    <mergeCell ref="E556:F556"/>
    <mergeCell ref="D514:F515"/>
    <mergeCell ref="D517:F519"/>
    <mergeCell ref="D521:F522"/>
    <mergeCell ref="A524:G524"/>
    <mergeCell ref="B526:F526"/>
    <mergeCell ref="A528:G528"/>
    <mergeCell ref="D530:F530"/>
    <mergeCell ref="D531:F531"/>
    <mergeCell ref="D533:F533"/>
    <mergeCell ref="D490:F490"/>
    <mergeCell ref="D491:F491"/>
    <mergeCell ref="D493:F494"/>
    <mergeCell ref="D496:F499"/>
    <mergeCell ref="D501:F501"/>
    <mergeCell ref="D503:F504"/>
    <mergeCell ref="D506:F506"/>
    <mergeCell ref="A508:G508"/>
    <mergeCell ref="D510:F510"/>
    <mergeCell ref="D452:F452"/>
    <mergeCell ref="D453:F453"/>
    <mergeCell ref="D454:F456"/>
    <mergeCell ref="D458:F460"/>
    <mergeCell ref="D462:F463"/>
    <mergeCell ref="D465:F478"/>
    <mergeCell ref="D480:F484"/>
    <mergeCell ref="D486:F486"/>
    <mergeCell ref="A488:G488"/>
    <mergeCell ref="D360:F363"/>
    <mergeCell ref="D372:F375"/>
    <mergeCell ref="D377:F385"/>
    <mergeCell ref="D386:F403"/>
    <mergeCell ref="D405:F406"/>
    <mergeCell ref="D408:F412"/>
    <mergeCell ref="D414:F417"/>
    <mergeCell ref="D418:F418"/>
    <mergeCell ref="D420:F450"/>
    <mergeCell ref="D304:F305"/>
    <mergeCell ref="D307:F307"/>
    <mergeCell ref="D309:F323"/>
    <mergeCell ref="D325:F333"/>
    <mergeCell ref="D335:F340"/>
    <mergeCell ref="D342:F342"/>
    <mergeCell ref="D343:F343"/>
    <mergeCell ref="D345:F345"/>
    <mergeCell ref="D347:F358"/>
    <mergeCell ref="D279:F279"/>
    <mergeCell ref="D281:F282"/>
    <mergeCell ref="D284:F286"/>
    <mergeCell ref="D288:F289"/>
    <mergeCell ref="A291:G291"/>
    <mergeCell ref="D293:F293"/>
    <mergeCell ref="D294:F294"/>
    <mergeCell ref="D296:F296"/>
    <mergeCell ref="D298:F302"/>
    <mergeCell ref="D255:F255"/>
    <mergeCell ref="D257:F257"/>
    <mergeCell ref="D258:F259"/>
    <mergeCell ref="D260:F260"/>
    <mergeCell ref="D262:F267"/>
    <mergeCell ref="D269:F271"/>
    <mergeCell ref="A273:G273"/>
    <mergeCell ref="D275:F276"/>
    <mergeCell ref="D278:F278"/>
    <mergeCell ref="D218:F218"/>
    <mergeCell ref="D219:F222"/>
    <mergeCell ref="D224:F228"/>
    <mergeCell ref="D230:F234"/>
    <mergeCell ref="D236:F238"/>
    <mergeCell ref="D239:F239"/>
    <mergeCell ref="D241:F245"/>
    <mergeCell ref="D250:F251"/>
    <mergeCell ref="A253:G253"/>
    <mergeCell ref="E198:F198"/>
    <mergeCell ref="D200:F202"/>
    <mergeCell ref="D204:F204"/>
    <mergeCell ref="D205:F205"/>
    <mergeCell ref="E206:F206"/>
    <mergeCell ref="D208:F211"/>
    <mergeCell ref="A213:G213"/>
    <mergeCell ref="D215:F215"/>
    <mergeCell ref="D216:F216"/>
    <mergeCell ref="D184:F185"/>
    <mergeCell ref="D186:F186"/>
    <mergeCell ref="D188:F188"/>
    <mergeCell ref="D189:F189"/>
    <mergeCell ref="E190:F190"/>
    <mergeCell ref="D192:F192"/>
    <mergeCell ref="D193:F193"/>
    <mergeCell ref="E194:F194"/>
    <mergeCell ref="D196:F196"/>
    <mergeCell ref="D145:F162"/>
    <mergeCell ref="D163:F163"/>
    <mergeCell ref="D164:G164"/>
    <mergeCell ref="D165:F167"/>
    <mergeCell ref="D169:F172"/>
    <mergeCell ref="D174:F176"/>
    <mergeCell ref="A178:G178"/>
    <mergeCell ref="B180:F180"/>
    <mergeCell ref="A182:G182"/>
    <mergeCell ref="D84:F85"/>
    <mergeCell ref="D87:F89"/>
    <mergeCell ref="D91:F92"/>
    <mergeCell ref="D95:F96"/>
    <mergeCell ref="D98:F112"/>
    <mergeCell ref="D114:F121"/>
    <mergeCell ref="D123:F124"/>
    <mergeCell ref="D126:F130"/>
    <mergeCell ref="D132:F143"/>
    <mergeCell ref="D53:F54"/>
    <mergeCell ref="D56:F58"/>
    <mergeCell ref="D60:F61"/>
    <mergeCell ref="D63:F65"/>
    <mergeCell ref="D67:F68"/>
    <mergeCell ref="A70:G70"/>
    <mergeCell ref="D72:F72"/>
    <mergeCell ref="D73:F73"/>
    <mergeCell ref="D75:F82"/>
    <mergeCell ref="D15:F17"/>
    <mergeCell ref="D19:F19"/>
    <mergeCell ref="D21:F22"/>
    <mergeCell ref="D24:F28"/>
    <mergeCell ref="D30:F31"/>
    <mergeCell ref="D33:F36"/>
    <mergeCell ref="D38:F42"/>
    <mergeCell ref="D44:F47"/>
    <mergeCell ref="D49:F51"/>
    <mergeCell ref="A2:G2"/>
    <mergeCell ref="A3:G3"/>
    <mergeCell ref="A4:G4"/>
    <mergeCell ref="A5:G5"/>
    <mergeCell ref="A6:G6"/>
    <mergeCell ref="A7:G7"/>
    <mergeCell ref="A9:G9"/>
    <mergeCell ref="D11:F12"/>
    <mergeCell ref="D13:F13"/>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8C949F6C-35BA-454B-87F5-4E0F4526623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18 B1228 B1221 B1225 B1231 B1239 B1262 B1253 B1266 B1256 B1249 B365" xr:uid="{189A1135-57B3-43D7-9048-3B2C136B886D}">
      <formula1>"(select one),Need to Provide,Provided,Not Applicable"</formula1>
    </dataValidation>
  </dataValidations>
  <hyperlinks>
    <hyperlink ref="D453" r:id="rId1" xr:uid="{8EC8D91B-CE82-45F0-9443-813F38BF70F5}"/>
    <hyperlink ref="D163" r:id="rId2" xr:uid="{3717DDD7-DFAF-4BEE-A60D-65A3F72742E4}"/>
    <hyperlink ref="D453:F453" r:id="rId3" display="https://www.treasurer.ca.gov/ctcac/forms/transfer-event-questionnaire.pdf" xr:uid="{05555D62-070A-4851-B450-38E20501F3FF}"/>
    <hyperlink ref="D418" r:id="rId4" xr:uid="{332F8D75-0A8C-43C6-8F96-FF04831B61AF}"/>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130" workbookViewId="0">
      <selection activeCell="Z811" sqref="Z811:AE811"/>
    </sheetView>
  </sheetViews>
  <sheetFormatPr defaultColWidth="0" defaultRowHeight="0" customHeight="1" zeroHeight="1"/>
  <cols>
    <col min="1" max="36" width="2.5703125" style="12" customWidth="1"/>
    <col min="37" max="37" width="2.7109375" style="12" customWidth="1"/>
    <col min="38" max="38" width="2.5703125" style="12" customWidth="1"/>
    <col min="39" max="45" width="2.5703125" style="39" customWidth="1"/>
    <col min="46" max="51" width="3.7109375" style="39" hidden="1"/>
    <col min="52" max="95" width="3.7109375" style="12" hidden="1"/>
    <col min="96" max="96" width="3.7109375" style="25" hidden="1"/>
    <col min="97" max="97" width="4" style="12" hidden="1"/>
    <col min="98"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182" t="s">
        <v>105</v>
      </c>
      <c r="B8" s="2182"/>
      <c r="C8" s="2182"/>
      <c r="D8" s="2182"/>
      <c r="E8" s="2182"/>
      <c r="F8" s="2182"/>
      <c r="G8" s="2182"/>
      <c r="H8" s="2182"/>
      <c r="I8" s="2182"/>
      <c r="J8" s="2182"/>
      <c r="K8" s="2182"/>
      <c r="L8" s="2182"/>
      <c r="M8" s="2182"/>
      <c r="N8" s="2182"/>
      <c r="O8" s="2182"/>
      <c r="P8" s="2182"/>
      <c r="Q8" s="2182"/>
      <c r="R8" s="2182"/>
      <c r="S8" s="2182"/>
      <c r="T8" s="2182"/>
      <c r="U8" s="2182"/>
      <c r="V8" s="2182"/>
      <c r="W8" s="2182"/>
      <c r="X8" s="2182"/>
      <c r="Y8" s="2182"/>
      <c r="Z8" s="2182"/>
      <c r="AA8" s="2182"/>
      <c r="AB8" s="2182"/>
      <c r="AC8" s="2182"/>
      <c r="AD8" s="2182"/>
      <c r="AE8" s="2182"/>
      <c r="AF8" s="2182"/>
      <c r="AG8" s="2182"/>
      <c r="AH8" s="2182"/>
      <c r="AI8" s="2182"/>
      <c r="AJ8" s="2182"/>
      <c r="AK8" s="2182"/>
      <c r="AL8" s="2182"/>
      <c r="AM8" s="1492"/>
      <c r="AN8" s="1492"/>
      <c r="AO8" s="1492"/>
      <c r="AP8" s="1492"/>
      <c r="AQ8" s="1492"/>
      <c r="AR8" s="1492"/>
      <c r="AS8" s="1492"/>
      <c r="AT8" s="1492"/>
      <c r="AU8" s="1492"/>
      <c r="AV8" s="1492"/>
      <c r="AW8" s="1492"/>
      <c r="AX8" s="1492"/>
      <c r="AY8" s="1492"/>
    </row>
    <row r="9" spans="1:96" s="720" customFormat="1" ht="12.75">
      <c r="A9" s="2181" t="s">
        <v>2009</v>
      </c>
      <c r="B9" s="2181"/>
      <c r="C9" s="2181"/>
      <c r="D9" s="2181"/>
      <c r="E9" s="2181"/>
      <c r="F9" s="2181"/>
      <c r="G9" s="2181"/>
      <c r="H9" s="2181"/>
      <c r="I9" s="2181"/>
      <c r="J9" s="2181"/>
      <c r="K9" s="2181"/>
      <c r="L9" s="2181"/>
      <c r="M9" s="2181"/>
      <c r="N9" s="2181"/>
      <c r="O9" s="2181"/>
      <c r="P9" s="2181"/>
      <c r="Q9" s="2181"/>
      <c r="R9" s="2181"/>
      <c r="S9" s="2181"/>
      <c r="T9" s="2181"/>
      <c r="U9" s="2181"/>
      <c r="V9" s="2181"/>
      <c r="W9" s="2181"/>
      <c r="X9" s="2181"/>
      <c r="Y9" s="2181"/>
      <c r="Z9" s="2181"/>
      <c r="AA9" s="2181"/>
      <c r="AB9" s="2181"/>
      <c r="AC9" s="2181"/>
      <c r="AD9" s="2181"/>
      <c r="AE9" s="2181"/>
      <c r="AF9" s="2181"/>
      <c r="AG9" s="2181"/>
      <c r="AH9" s="2181"/>
      <c r="AI9" s="2181"/>
      <c r="AJ9" s="2181"/>
      <c r="AK9" s="2181"/>
      <c r="AL9" s="2181"/>
      <c r="AM9" s="1431"/>
      <c r="AN9" s="1431"/>
      <c r="AO9" s="1431"/>
      <c r="AP9" s="1431"/>
      <c r="AQ9" s="1431"/>
      <c r="AR9" s="1431"/>
      <c r="AS9" s="1431"/>
      <c r="AT9" s="1431"/>
      <c r="AU9" s="1431"/>
      <c r="AV9" s="1431"/>
      <c r="AW9" s="1431"/>
      <c r="AX9" s="1431"/>
      <c r="AY9" s="1431"/>
      <c r="CR9" s="25"/>
    </row>
    <row r="10" spans="1:96" ht="15" customHeight="1">
      <c r="A10" s="1955" t="s">
        <v>2010</v>
      </c>
      <c r="B10" s="1955"/>
      <c r="C10" s="1955"/>
      <c r="D10" s="1955"/>
      <c r="E10" s="1955"/>
      <c r="F10" s="1955"/>
      <c r="G10" s="1955"/>
      <c r="H10" s="1955"/>
      <c r="I10" s="1955"/>
      <c r="J10" s="1955"/>
      <c r="K10" s="1955"/>
      <c r="L10" s="1955"/>
      <c r="M10" s="1955"/>
      <c r="N10" s="1955"/>
      <c r="O10" s="1955"/>
      <c r="P10" s="1955"/>
      <c r="Q10" s="1955"/>
      <c r="R10" s="1955"/>
      <c r="S10" s="1955"/>
      <c r="T10" s="1955"/>
      <c r="U10" s="1955"/>
      <c r="V10" s="1955"/>
      <c r="W10" s="1955"/>
      <c r="X10" s="1955"/>
      <c r="Y10" s="1955"/>
      <c r="Z10" s="1955"/>
      <c r="AA10" s="1955"/>
      <c r="AB10" s="1955"/>
      <c r="AC10" s="1955"/>
      <c r="AD10" s="1955"/>
      <c r="AE10" s="1955"/>
      <c r="AF10" s="1955"/>
      <c r="AG10" s="1955"/>
      <c r="AH10" s="1955"/>
      <c r="AI10" s="1955"/>
      <c r="AJ10" s="1955"/>
      <c r="AK10" s="1955"/>
      <c r="AL10" s="1955"/>
      <c r="AM10" s="20"/>
      <c r="AN10" s="20"/>
      <c r="AO10" s="20"/>
      <c r="AP10" s="20"/>
      <c r="AQ10" s="20"/>
      <c r="AR10" s="20"/>
      <c r="AS10" s="20"/>
      <c r="AT10" s="20"/>
      <c r="AU10" s="20"/>
      <c r="AV10" s="20"/>
      <c r="AW10" s="20"/>
      <c r="AX10" s="20"/>
      <c r="AY10" s="20"/>
    </row>
    <row r="11" spans="1:96" ht="15" customHeight="1">
      <c r="A11" s="2181" t="s">
        <v>2030</v>
      </c>
      <c r="B11" s="2181"/>
      <c r="C11" s="2181"/>
      <c r="D11" s="2181"/>
      <c r="E11" s="2181"/>
      <c r="F11" s="2181"/>
      <c r="G11" s="2181"/>
      <c r="H11" s="2181"/>
      <c r="I11" s="2181"/>
      <c r="J11" s="2181"/>
      <c r="K11" s="2181"/>
      <c r="L11" s="2181"/>
      <c r="M11" s="2181"/>
      <c r="N11" s="2181"/>
      <c r="O11" s="2181"/>
      <c r="P11" s="2181"/>
      <c r="Q11" s="2181"/>
      <c r="R11" s="2181"/>
      <c r="S11" s="2181"/>
      <c r="T11" s="2181"/>
      <c r="U11" s="2181"/>
      <c r="V11" s="2181"/>
      <c r="W11" s="2181"/>
      <c r="X11" s="2181"/>
      <c r="Y11" s="2181"/>
      <c r="Z11" s="2181"/>
      <c r="AA11" s="2181"/>
      <c r="AB11" s="2181"/>
      <c r="AC11" s="2181"/>
      <c r="AD11" s="2181"/>
      <c r="AE11" s="2181"/>
      <c r="AF11" s="2181"/>
      <c r="AG11" s="2181"/>
      <c r="AH11" s="2181"/>
      <c r="AI11" s="2181"/>
      <c r="AJ11" s="2181"/>
      <c r="AK11" s="2181"/>
      <c r="AL11" s="2181"/>
      <c r="AM11" s="1431"/>
      <c r="AN11" s="1431"/>
      <c r="AO11" s="1431"/>
      <c r="AP11" s="1431"/>
      <c r="AQ11" s="1431"/>
      <c r="AR11" s="1431"/>
      <c r="AS11" s="1431"/>
      <c r="AT11" s="1431"/>
      <c r="AU11" s="1431"/>
      <c r="AV11" s="1431"/>
      <c r="AW11" s="1431"/>
      <c r="AX11" s="1431"/>
      <c r="AY11" s="1431"/>
    </row>
    <row r="12" spans="1:96" ht="12.75">
      <c r="A12" s="2377" t="s">
        <v>2483</v>
      </c>
      <c r="B12" s="2378"/>
      <c r="C12" s="2378"/>
      <c r="D12" s="2378"/>
      <c r="E12" s="2378"/>
      <c r="F12" s="2378"/>
      <c r="G12" s="2378"/>
      <c r="H12" s="2378"/>
      <c r="I12" s="2378"/>
      <c r="J12" s="2378"/>
      <c r="K12" s="2378"/>
      <c r="L12" s="2378"/>
      <c r="M12" s="2378"/>
      <c r="N12" s="2378"/>
      <c r="O12" s="2378"/>
      <c r="P12" s="2378"/>
      <c r="Q12" s="2378"/>
      <c r="R12" s="2378"/>
      <c r="S12" s="2378"/>
      <c r="T12" s="2378"/>
      <c r="U12" s="2378"/>
      <c r="V12" s="2378"/>
      <c r="W12" s="2378"/>
      <c r="X12" s="2378"/>
      <c r="Y12" s="2378"/>
      <c r="Z12" s="2378"/>
      <c r="AA12" s="2378"/>
      <c r="AB12" s="2378"/>
      <c r="AC12" s="2378"/>
      <c r="AD12" s="2378"/>
      <c r="AE12" s="2378"/>
      <c r="AF12" s="2378"/>
      <c r="AG12" s="2378"/>
      <c r="AH12" s="2378"/>
      <c r="AI12" s="2378"/>
      <c r="AJ12" s="2378"/>
      <c r="AK12" s="2378"/>
      <c r="AL12" s="2378"/>
      <c r="AM12" s="1437"/>
      <c r="AN12" s="1437"/>
      <c r="AO12" s="1437"/>
      <c r="AP12" s="1437"/>
      <c r="AQ12" s="1437"/>
      <c r="AR12" s="1437"/>
      <c r="AS12" s="1437"/>
      <c r="AT12" s="1437"/>
      <c r="AU12" s="1437"/>
      <c r="AV12" s="1437"/>
      <c r="AW12" s="1437"/>
      <c r="AX12" s="1437"/>
      <c r="AY12" s="1437"/>
    </row>
    <row r="13" spans="1:96" ht="12.75">
      <c r="A13" s="1757" t="s">
        <v>1391</v>
      </c>
      <c r="B13" s="1757"/>
      <c r="C13" s="1757"/>
      <c r="D13" s="1757"/>
      <c r="E13" s="1757"/>
      <c r="F13" s="1757"/>
      <c r="G13" s="1757"/>
      <c r="H13" s="1757"/>
      <c r="I13" s="1757"/>
      <c r="J13" s="1757"/>
      <c r="K13" s="1757"/>
      <c r="L13" s="1757"/>
      <c r="M13" s="1757"/>
      <c r="N13" s="1757"/>
      <c r="O13" s="1757"/>
      <c r="P13" s="1757"/>
      <c r="Q13" s="1757"/>
      <c r="R13" s="1757"/>
      <c r="S13" s="1757"/>
      <c r="T13" s="1757"/>
      <c r="U13" s="1757"/>
      <c r="V13" s="1757"/>
      <c r="W13" s="1757"/>
      <c r="X13" s="1757"/>
      <c r="Y13" s="1757"/>
      <c r="Z13" s="1757"/>
      <c r="AA13" s="1757"/>
      <c r="AB13" s="1757"/>
      <c r="AC13" s="1757"/>
      <c r="AD13" s="1757"/>
      <c r="AE13" s="1757"/>
      <c r="AF13" s="1757"/>
      <c r="AG13" s="1757"/>
      <c r="AH13" s="1757"/>
      <c r="AI13" s="1757"/>
      <c r="AJ13" s="1757"/>
      <c r="AK13" s="1757"/>
      <c r="AL13" s="1757"/>
      <c r="AM13" s="1493"/>
      <c r="AN13" s="1493"/>
      <c r="AO13" s="1493"/>
      <c r="AP13" s="1493"/>
      <c r="AQ13" s="1493"/>
      <c r="AR13" s="1493"/>
      <c r="AS13" s="1493"/>
      <c r="AT13" s="1493"/>
      <c r="AU13" s="1493"/>
      <c r="AV13" s="1493"/>
      <c r="AW13" s="1493"/>
      <c r="AX13" s="1493"/>
      <c r="AY13" s="1493"/>
    </row>
    <row r="14" spans="1:96" ht="12.75" customHeight="1" thickBot="1">
      <c r="A14" s="1758"/>
      <c r="B14" s="1758"/>
      <c r="C14" s="1758"/>
      <c r="D14" s="1758"/>
      <c r="E14" s="1758"/>
      <c r="F14" s="1758"/>
      <c r="G14" s="1758"/>
      <c r="H14" s="1758"/>
      <c r="I14" s="1758"/>
      <c r="J14" s="1758"/>
      <c r="K14" s="1758"/>
      <c r="L14" s="1758"/>
      <c r="M14" s="1758"/>
      <c r="N14" s="1758"/>
      <c r="O14" s="1758"/>
      <c r="P14" s="1758"/>
      <c r="Q14" s="1758"/>
      <c r="R14" s="1758"/>
      <c r="S14" s="1758"/>
      <c r="T14" s="1758"/>
      <c r="U14" s="1758"/>
      <c r="V14" s="1758"/>
      <c r="W14" s="1758"/>
      <c r="X14" s="1758"/>
      <c r="Y14" s="1758"/>
      <c r="Z14" s="1758"/>
      <c r="AA14" s="1758"/>
      <c r="AB14" s="1758"/>
      <c r="AC14" s="1758"/>
      <c r="AD14" s="1758"/>
      <c r="AE14" s="1758"/>
      <c r="AF14" s="1758"/>
      <c r="AG14" s="1758"/>
      <c r="AH14" s="1758"/>
      <c r="AI14" s="1758"/>
      <c r="AJ14" s="1758"/>
      <c r="AK14" s="1758"/>
      <c r="AL14" s="1758"/>
      <c r="AM14" s="1493"/>
      <c r="AN14" s="1493"/>
      <c r="AO14" s="1493"/>
      <c r="AP14" s="1493"/>
      <c r="AQ14" s="1493"/>
      <c r="AR14" s="1493"/>
      <c r="AS14" s="1493"/>
      <c r="AT14" s="1493"/>
      <c r="AU14" s="1493"/>
      <c r="AV14" s="1493"/>
      <c r="AW14" s="1493"/>
      <c r="AX14" s="1493"/>
      <c r="AY14" s="1493"/>
    </row>
    <row r="15" spans="1:96" ht="12.75" customHeight="1" thickTop="1">
      <c r="A15" s="145"/>
      <c r="B15" s="145"/>
      <c r="C15" s="145"/>
      <c r="D15" s="145"/>
      <c r="E15" s="145"/>
      <c r="F15" s="145"/>
      <c r="G15" s="145"/>
      <c r="AC15" s="145"/>
      <c r="AD15" s="145"/>
      <c r="AE15" s="145"/>
      <c r="AF15" s="145"/>
      <c r="AG15" s="145"/>
      <c r="AH15" s="145"/>
      <c r="AI15" s="145"/>
      <c r="AJ15" s="145"/>
      <c r="AK15" s="145"/>
      <c r="AL15" s="145"/>
      <c r="AM15" s="1494"/>
      <c r="AN15" s="1494"/>
      <c r="AO15" s="1494"/>
      <c r="AP15" s="1494"/>
      <c r="AQ15" s="1494"/>
      <c r="AR15" s="1494"/>
      <c r="AS15" s="1494"/>
      <c r="AT15" s="1494"/>
      <c r="AU15" s="1494"/>
      <c r="AV15" s="1494"/>
      <c r="AW15" s="1494"/>
      <c r="AX15" s="1494"/>
      <c r="AY15" s="1494"/>
    </row>
    <row r="16" spans="1:96" ht="12.75" customHeight="1">
      <c r="A16" s="134" t="s">
        <v>1378</v>
      </c>
      <c r="C16" s="7"/>
      <c r="D16" s="7"/>
      <c r="E16" s="7"/>
      <c r="F16" s="7"/>
      <c r="G16" s="7"/>
      <c r="H16" s="2355" t="s">
        <v>2457</v>
      </c>
      <c r="I16" s="2355"/>
      <c r="J16" s="2355"/>
      <c r="K16" s="2355"/>
      <c r="L16" s="2355"/>
      <c r="M16" s="2355"/>
      <c r="N16" s="2355"/>
      <c r="O16" s="2355"/>
      <c r="P16" s="2355"/>
      <c r="Q16" s="2355"/>
      <c r="R16" s="2355"/>
      <c r="S16" s="2355"/>
      <c r="T16" s="2355"/>
      <c r="U16" s="2355"/>
      <c r="V16" s="2355"/>
      <c r="W16" s="2355"/>
      <c r="X16" s="2355"/>
      <c r="Y16" s="2355"/>
      <c r="Z16" s="2355"/>
      <c r="AA16" s="2355"/>
      <c r="AB16" s="2355"/>
      <c r="AC16" s="2355"/>
      <c r="AD16" s="2355"/>
      <c r="AE16" s="2355"/>
      <c r="AF16" s="2355"/>
      <c r="AG16" s="2355"/>
      <c r="AH16" s="2355"/>
      <c r="AI16" s="2355"/>
      <c r="AJ16" s="2355"/>
    </row>
    <row r="17" spans="1:96" ht="12.75" customHeight="1"/>
    <row r="18" spans="1:96" ht="12.75" customHeight="1">
      <c r="A18" s="134" t="s">
        <v>106</v>
      </c>
      <c r="C18" s="7"/>
      <c r="D18" s="7"/>
      <c r="E18" s="7"/>
      <c r="F18" s="7"/>
      <c r="G18" s="7"/>
      <c r="H18" s="1934" t="s">
        <v>2602</v>
      </c>
      <c r="I18" s="1934"/>
      <c r="J18" s="1934"/>
      <c r="K18" s="1934"/>
      <c r="L18" s="1934"/>
      <c r="M18" s="1934"/>
      <c r="N18" s="1934"/>
      <c r="O18" s="1934"/>
      <c r="P18" s="1934"/>
      <c r="Q18" s="1934"/>
      <c r="R18" s="1934"/>
      <c r="S18" s="1934"/>
      <c r="T18" s="1934"/>
      <c r="U18" s="1934"/>
      <c r="V18" s="1934"/>
      <c r="W18" s="1934"/>
      <c r="X18" s="1934"/>
      <c r="Y18" s="1934"/>
      <c r="Z18" s="1934"/>
      <c r="AA18" s="1934"/>
      <c r="AB18" s="1934"/>
      <c r="AC18" s="1934"/>
      <c r="AD18" s="1934"/>
      <c r="AE18" s="1934"/>
      <c r="AF18" s="1934"/>
      <c r="AG18" s="1934"/>
      <c r="AH18" s="1934"/>
      <c r="AI18" s="1934"/>
      <c r="AJ18" s="1934"/>
    </row>
    <row r="19" spans="1:96" ht="12.75" customHeight="1"/>
    <row r="20" spans="1:96" ht="14.25" customHeight="1">
      <c r="A20" s="2353" t="s">
        <v>940</v>
      </c>
      <c r="B20" s="2353"/>
      <c r="C20" s="2353"/>
      <c r="D20" s="2353"/>
      <c r="E20" s="2353"/>
      <c r="F20" s="2353"/>
      <c r="G20" s="2353"/>
      <c r="H20" s="2353"/>
      <c r="I20" s="2353"/>
      <c r="J20" s="2353"/>
      <c r="K20" s="2353"/>
      <c r="L20" s="2353"/>
      <c r="M20" s="2353"/>
      <c r="N20" s="2353"/>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2353"/>
      <c r="AM20" s="1495"/>
      <c r="AN20" s="1495"/>
      <c r="AO20" s="1495"/>
      <c r="AP20" s="1495"/>
      <c r="AQ20" s="1495"/>
      <c r="AR20" s="1495"/>
      <c r="AS20" s="1495"/>
      <c r="AT20" s="1495"/>
      <c r="AU20" s="1495"/>
      <c r="AV20" s="1495"/>
      <c r="AW20" s="1495"/>
      <c r="AX20" s="1495"/>
      <c r="AY20" s="1495"/>
    </row>
    <row r="21" spans="1:96" ht="12.75" customHeight="1">
      <c r="A21" s="2380" t="s">
        <v>1120</v>
      </c>
      <c r="B21" s="2380"/>
      <c r="C21" s="2380"/>
      <c r="D21" s="2380"/>
      <c r="E21" s="2380"/>
      <c r="F21" s="2380"/>
      <c r="G21" s="2380"/>
      <c r="H21" s="2380"/>
      <c r="I21" s="2380"/>
      <c r="J21" s="2380"/>
      <c r="K21" s="2380"/>
      <c r="L21" s="2380"/>
      <c r="M21" s="2380"/>
      <c r="N21" s="2380"/>
      <c r="O21" s="2380"/>
      <c r="P21" s="2380"/>
      <c r="Q21" s="2380"/>
      <c r="R21" s="2380"/>
      <c r="S21" s="2380"/>
      <c r="T21" s="2380"/>
      <c r="U21" s="2380"/>
      <c r="V21" s="2380"/>
      <c r="W21" s="2380"/>
      <c r="X21" s="2380"/>
      <c r="Y21" s="2380"/>
      <c r="Z21" s="2380"/>
      <c r="AA21" s="2380"/>
      <c r="AB21" s="2380"/>
      <c r="AC21" s="2380"/>
      <c r="AD21" s="2380"/>
      <c r="AE21" s="2380"/>
      <c r="AF21" s="2380"/>
      <c r="AG21" s="2380"/>
      <c r="AH21" s="2380"/>
      <c r="AI21" s="2380"/>
      <c r="AJ21" s="2380"/>
      <c r="AK21" s="2380"/>
      <c r="AL21" s="2380"/>
      <c r="AM21" s="1496"/>
      <c r="AN21" s="1496"/>
      <c r="AO21" s="1496"/>
      <c r="AP21" s="1496"/>
      <c r="AQ21" s="1496"/>
      <c r="AR21" s="1496"/>
      <c r="AS21" s="1496"/>
      <c r="AT21" s="1496"/>
      <c r="AU21" s="1496"/>
      <c r="AV21" s="1496"/>
      <c r="AW21" s="1496"/>
      <c r="AX21" s="1496"/>
      <c r="AY21" s="149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97"/>
      <c r="AN23" s="1497"/>
      <c r="AO23" s="1497"/>
      <c r="AP23" s="1497"/>
      <c r="AQ23" s="1497"/>
      <c r="AR23" s="1497"/>
      <c r="AS23" s="1497"/>
      <c r="AT23" s="1497"/>
      <c r="AU23" s="1497"/>
      <c r="AV23" s="1497"/>
      <c r="AW23" s="1497"/>
      <c r="AX23" s="1497"/>
      <c r="AY23" s="1497"/>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97"/>
      <c r="AN24" s="1497"/>
      <c r="AO24" s="1497"/>
      <c r="AP24" s="1497"/>
      <c r="AQ24" s="1497"/>
      <c r="AR24" s="1497"/>
      <c r="AS24" s="1497"/>
      <c r="AT24" s="1497"/>
      <c r="AU24" s="1497"/>
      <c r="AV24" s="1497"/>
      <c r="AW24" s="1497"/>
      <c r="AX24" s="1497"/>
      <c r="AY24" s="149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379">
        <f ca="1">'Basis &amp; Credits'!AB56</f>
        <v>2069793.5</v>
      </c>
      <c r="N26" s="2379"/>
      <c r="O26" s="2379"/>
      <c r="P26" s="2379"/>
      <c r="Q26" s="2379"/>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92">
        <f ca="1">'Basis &amp; Credits'!AB77</f>
        <v>0</v>
      </c>
      <c r="N27" s="2092"/>
      <c r="O27" s="2092"/>
      <c r="P27" s="2092"/>
      <c r="Q27" s="2092"/>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826" t="s">
        <v>1523</v>
      </c>
      <c r="C33" s="826"/>
      <c r="D33" s="826"/>
      <c r="E33" s="826"/>
      <c r="F33" s="826"/>
      <c r="G33" s="826"/>
      <c r="H33" s="826"/>
      <c r="I33" s="826"/>
      <c r="J33" s="826"/>
      <c r="K33" s="826"/>
      <c r="L33" s="826"/>
      <c r="M33" s="826"/>
      <c r="N33" s="826"/>
      <c r="O33" s="1961" t="s">
        <v>708</v>
      </c>
      <c r="P33" s="1961"/>
      <c r="Q33" s="826" t="s">
        <v>1524</v>
      </c>
      <c r="S33" s="826"/>
      <c r="T33" s="826"/>
      <c r="U33" s="826"/>
      <c r="V33" s="826"/>
      <c r="W33" s="826"/>
      <c r="X33" s="826"/>
      <c r="Y33" s="826"/>
      <c r="Z33" s="82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826"/>
      <c r="D34" s="826"/>
      <c r="E34" s="826"/>
      <c r="F34" s="826"/>
      <c r="G34" s="826"/>
      <c r="H34" s="826"/>
      <c r="I34" s="826"/>
      <c r="J34" s="826"/>
      <c r="K34" s="826"/>
      <c r="L34" s="826"/>
      <c r="M34" s="826"/>
      <c r="N34" s="826"/>
      <c r="O34" s="826"/>
      <c r="P34" s="826"/>
      <c r="Q34" s="826"/>
      <c r="R34" s="826"/>
      <c r="S34" s="826"/>
      <c r="T34" s="826"/>
      <c r="U34" s="826"/>
      <c r="V34" s="826"/>
      <c r="W34" s="826"/>
      <c r="X34" s="826"/>
      <c r="Y34" s="826"/>
      <c r="Z34" s="82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826"/>
      <c r="D35" s="826"/>
      <c r="E35" s="826"/>
      <c r="F35" s="826"/>
      <c r="G35" s="826"/>
      <c r="H35" s="826"/>
      <c r="I35" s="826"/>
      <c r="J35" s="826"/>
      <c r="K35" s="826"/>
      <c r="L35" s="826"/>
      <c r="M35" s="826"/>
      <c r="N35" s="826"/>
      <c r="O35" s="826"/>
      <c r="P35" s="826"/>
      <c r="Q35" s="826"/>
      <c r="R35" s="826"/>
      <c r="S35" s="826"/>
      <c r="T35" s="826"/>
      <c r="U35" s="826"/>
      <c r="V35" s="826"/>
      <c r="W35" s="826"/>
      <c r="X35" s="826"/>
      <c r="Y35" s="826"/>
      <c r="Z35" s="82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827" t="s">
        <v>1527</v>
      </c>
      <c r="B36" s="39"/>
      <c r="C36" s="826"/>
      <c r="D36" s="826"/>
      <c r="E36" s="826"/>
      <c r="F36" s="826"/>
      <c r="G36" s="826"/>
      <c r="H36" s="826"/>
      <c r="I36" s="826"/>
      <c r="J36" s="826"/>
      <c r="K36" s="826"/>
      <c r="L36" s="826"/>
      <c r="M36" s="826"/>
      <c r="N36" s="826"/>
      <c r="O36" s="826"/>
      <c r="P36" s="826"/>
      <c r="Q36" s="826"/>
      <c r="R36" s="826"/>
      <c r="S36" s="826"/>
      <c r="T36" s="826"/>
      <c r="U36" s="826"/>
      <c r="V36" s="826"/>
      <c r="W36" s="826"/>
      <c r="X36" s="826"/>
      <c r="Y36" s="826"/>
      <c r="Z36" s="82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826" t="s">
        <v>1560</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31" t="s">
        <v>1561</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31" t="s">
        <v>1562</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32"/>
      <c r="AN42" s="1432"/>
      <c r="AO42" s="1432"/>
      <c r="AP42" s="1432"/>
      <c r="AQ42" s="1432"/>
      <c r="AR42" s="1432"/>
      <c r="AS42" s="1432"/>
      <c r="AT42" s="1432"/>
      <c r="AU42" s="1432"/>
      <c r="AV42" s="1432"/>
      <c r="AW42" s="1432"/>
      <c r="AX42" s="1432"/>
      <c r="AY42" s="1432"/>
      <c r="AZ42" s="31"/>
    </row>
    <row r="43" spans="1:96" ht="12.75" customHeight="1">
      <c r="A43" s="831" t="s">
        <v>1563</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32" t="s">
        <v>1564</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32" t="s">
        <v>1565</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32" t="s">
        <v>1566</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833" t="s">
        <v>1567</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30" t="s">
        <v>1568</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30" t="s">
        <v>1569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30" t="s">
        <v>1570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30" t="s">
        <v>1571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2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32"/>
      <c r="AN55" s="1432"/>
      <c r="AO55" s="1432"/>
      <c r="AP55" s="1432"/>
      <c r="AQ55" s="1432"/>
      <c r="AR55" s="1432"/>
      <c r="AS55" s="1432"/>
      <c r="AT55" s="1432"/>
      <c r="AU55" s="1432"/>
      <c r="AV55" s="1432"/>
      <c r="AW55" s="1432"/>
      <c r="AX55" s="1432"/>
      <c r="AY55" s="1432"/>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32"/>
      <c r="AN56" s="1432"/>
      <c r="AO56" s="1432"/>
      <c r="AP56" s="1432"/>
      <c r="AQ56" s="1432"/>
      <c r="AR56" s="1432"/>
      <c r="AS56" s="1432"/>
      <c r="AT56" s="1432"/>
      <c r="AU56" s="1432"/>
      <c r="AV56" s="1432"/>
      <c r="AW56" s="1432"/>
      <c r="AX56" s="1432"/>
      <c r="AY56" s="1432"/>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32"/>
      <c r="AN57" s="1432"/>
      <c r="AO57" s="1432"/>
      <c r="AP57" s="1432"/>
      <c r="AQ57" s="1432"/>
      <c r="AR57" s="1432"/>
      <c r="AS57" s="1432"/>
      <c r="AT57" s="1432"/>
      <c r="AU57" s="1432"/>
      <c r="AV57" s="1432"/>
      <c r="AW57" s="1432"/>
      <c r="AX57" s="1432"/>
      <c r="AY57" s="1432"/>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32"/>
      <c r="AN58" s="1432"/>
      <c r="AO58" s="1432"/>
      <c r="AP58" s="1432"/>
      <c r="AQ58" s="1432"/>
      <c r="AR58" s="1432"/>
      <c r="AS58" s="1432"/>
      <c r="AT58" s="1432"/>
      <c r="AU58" s="1432"/>
      <c r="AV58" s="1432"/>
      <c r="AW58" s="1432"/>
      <c r="AX58" s="1432"/>
      <c r="AY58" s="1432"/>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98"/>
      <c r="AN65" s="1498"/>
      <c r="AO65" s="1498"/>
      <c r="AP65" s="1498"/>
      <c r="AQ65" s="1498"/>
      <c r="AR65" s="1498"/>
      <c r="AS65" s="1498"/>
      <c r="AT65" s="1498"/>
      <c r="AU65" s="1498"/>
      <c r="AV65" s="1498"/>
      <c r="AW65" s="1498"/>
      <c r="AX65" s="1498"/>
      <c r="AY65" s="1498"/>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98"/>
      <c r="AN66" s="1498"/>
      <c r="AO66" s="1498"/>
      <c r="AP66" s="1498"/>
      <c r="AQ66" s="1498"/>
      <c r="AR66" s="1498"/>
      <c r="AS66" s="1498"/>
      <c r="AT66" s="1498"/>
      <c r="AU66" s="1498"/>
      <c r="AV66" s="1498"/>
      <c r="AW66" s="1498"/>
      <c r="AX66" s="1498"/>
      <c r="AY66" s="149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32"/>
      <c r="AN67" s="1432"/>
      <c r="AO67" s="1432"/>
      <c r="AP67" s="1432"/>
      <c r="AQ67" s="1432"/>
      <c r="AR67" s="1432"/>
      <c r="AS67" s="1432"/>
      <c r="AT67" s="1432"/>
      <c r="AU67" s="1432"/>
      <c r="AV67" s="1432"/>
      <c r="AW67" s="1432"/>
      <c r="AX67" s="1432"/>
      <c r="AY67" s="1432"/>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32"/>
      <c r="AN68" s="1432"/>
      <c r="AO68" s="1432"/>
      <c r="AP68" s="1432"/>
      <c r="AQ68" s="1432"/>
      <c r="AR68" s="1432"/>
      <c r="AS68" s="1432"/>
      <c r="AT68" s="1432"/>
      <c r="AU68" s="1432"/>
      <c r="AV68" s="1432"/>
      <c r="AW68" s="1432"/>
      <c r="AX68" s="1432"/>
      <c r="AY68" s="1432"/>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32"/>
      <c r="AN69" s="1432"/>
      <c r="AO69" s="1432"/>
      <c r="AP69" s="1432"/>
      <c r="AQ69" s="1432"/>
      <c r="AR69" s="1432"/>
      <c r="AS69" s="1432"/>
      <c r="AT69" s="1432"/>
      <c r="AU69" s="1432"/>
      <c r="AV69" s="1432"/>
      <c r="AW69" s="1432"/>
      <c r="AX69" s="1432"/>
      <c r="AY69" s="1432"/>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9"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9"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99"/>
      <c r="AN89" s="1499"/>
      <c r="AO89" s="1499"/>
      <c r="AP89" s="1499"/>
      <c r="AQ89" s="1499"/>
      <c r="AR89" s="1499"/>
      <c r="AS89" s="1499"/>
      <c r="AT89" s="1499"/>
      <c r="AU89" s="1499"/>
      <c r="AV89" s="1499"/>
      <c r="AW89" s="1499"/>
      <c r="AX89" s="1499"/>
      <c r="AY89" s="1499"/>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99"/>
      <c r="AN90" s="1499"/>
      <c r="AO90" s="1499"/>
      <c r="AP90" s="1499"/>
      <c r="AQ90" s="1499"/>
      <c r="AR90" s="1499"/>
      <c r="AS90" s="1499"/>
      <c r="AT90" s="1499"/>
      <c r="AU90" s="1499"/>
      <c r="AV90" s="1499"/>
      <c r="AW90" s="1499"/>
      <c r="AX90" s="1499"/>
      <c r="AY90" s="1499"/>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99"/>
      <c r="AN91" s="1499"/>
      <c r="AO91" s="1499"/>
      <c r="AP91" s="1499"/>
      <c r="AQ91" s="1499"/>
      <c r="AR91" s="1499"/>
      <c r="AS91" s="1499"/>
      <c r="AT91" s="1499"/>
      <c r="AU91" s="1499"/>
      <c r="AV91" s="1499"/>
      <c r="AW91" s="1499"/>
      <c r="AX91" s="1499"/>
      <c r="AY91" s="1499"/>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10"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11"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11"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11"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11"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11"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12"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54" t="s">
        <v>2609</v>
      </c>
      <c r="H122" s="2354"/>
      <c r="I122" s="239" t="s">
        <v>187</v>
      </c>
      <c r="L122" s="2354" t="s">
        <v>2610</v>
      </c>
      <c r="M122" s="2354"/>
      <c r="N122" s="2354"/>
      <c r="O122" s="834" t="s">
        <v>2611</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383" t="s">
        <v>2613</v>
      </c>
      <c r="D124" s="2383"/>
      <c r="E124" s="2383"/>
      <c r="F124" s="2383"/>
      <c r="G124" s="2383"/>
      <c r="H124" s="2383"/>
      <c r="I124" s="2383"/>
      <c r="J124" s="2383"/>
      <c r="K124" s="2383"/>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354" t="s">
        <v>2612</v>
      </c>
      <c r="Z126" s="2354"/>
      <c r="AA126" s="2354"/>
      <c r="AB126" s="2354"/>
      <c r="AC126" s="2354"/>
      <c r="AD126" s="2354"/>
      <c r="AE126" s="2354"/>
      <c r="AF126" s="2354"/>
      <c r="AG126" s="2354"/>
      <c r="AH126" s="2354"/>
      <c r="AI126" s="2354"/>
      <c r="AJ126" s="2354"/>
      <c r="AK126" s="2354"/>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00"/>
      <c r="AN128" s="1500"/>
      <c r="AO128" s="1500"/>
      <c r="AP128" s="1500"/>
      <c r="AQ128" s="1500"/>
      <c r="AR128" s="1500"/>
      <c r="AS128" s="1500"/>
      <c r="AT128" s="1500"/>
      <c r="AU128" s="1500"/>
      <c r="AV128" s="1500"/>
      <c r="AW128" s="1500"/>
      <c r="AX128" s="1500"/>
      <c r="AY128" s="1500"/>
    </row>
    <row r="129" spans="1:96" ht="12.75">
      <c r="A129" s="698"/>
      <c r="B129" s="150"/>
      <c r="R129" s="265"/>
      <c r="S129" s="265"/>
      <c r="T129" s="265"/>
      <c r="U129" s="265"/>
      <c r="V129" s="265"/>
      <c r="W129" s="265"/>
      <c r="X129" s="58"/>
      <c r="Y129" s="2361" t="s">
        <v>2590</v>
      </c>
      <c r="Z129" s="2361"/>
      <c r="AA129" s="2361"/>
      <c r="AB129" s="2361"/>
      <c r="AC129" s="2361"/>
      <c r="AD129" s="2361"/>
      <c r="AE129" s="2361"/>
      <c r="AF129" s="2361"/>
      <c r="AG129" s="2361"/>
      <c r="AH129" s="2361"/>
      <c r="AI129" s="2361"/>
      <c r="AJ129" s="2361"/>
      <c r="AK129" s="2361"/>
      <c r="AL129" s="698"/>
      <c r="AM129" s="1500"/>
      <c r="AN129" s="1500"/>
      <c r="AO129" s="1500"/>
      <c r="AP129" s="1500"/>
      <c r="AQ129" s="1500"/>
      <c r="AR129" s="1500"/>
      <c r="AS129" s="1500"/>
      <c r="AT129" s="1500"/>
      <c r="AU129" s="1500"/>
      <c r="AV129" s="1500"/>
      <c r="AW129" s="1500"/>
      <c r="AX129" s="1500"/>
      <c r="AY129" s="1500"/>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25"/>
      <c r="G132" s="825"/>
      <c r="H132" s="825"/>
      <c r="I132" s="825"/>
      <c r="J132" s="825"/>
      <c r="K132" s="825"/>
      <c r="L132" s="825"/>
      <c r="M132" s="825"/>
      <c r="N132" s="177"/>
      <c r="O132" s="25"/>
      <c r="P132" s="177"/>
      <c r="Q132" s="177"/>
      <c r="R132" s="25"/>
      <c r="S132" s="25"/>
      <c r="T132" s="25"/>
      <c r="U132" s="177"/>
      <c r="V132" s="177"/>
      <c r="W132" s="177"/>
      <c r="X132" s="177"/>
      <c r="Y132" s="2361" t="s">
        <v>2608</v>
      </c>
      <c r="Z132" s="2361"/>
      <c r="AA132" s="2361"/>
      <c r="AB132" s="2361"/>
      <c r="AC132" s="2361"/>
      <c r="AD132" s="2361"/>
      <c r="AE132" s="2361"/>
      <c r="AF132" s="2361"/>
      <c r="AG132" s="2361"/>
      <c r="AH132" s="2361"/>
      <c r="AI132" s="2361"/>
      <c r="AJ132" s="2361"/>
      <c r="AK132" s="236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17"/>
      <c r="U139" s="817"/>
      <c r="V139" s="817"/>
      <c r="W139" s="817"/>
      <c r="X139" s="817"/>
      <c r="Y139" s="817"/>
      <c r="Z139" s="817"/>
      <c r="AA139" s="817"/>
      <c r="AB139" s="817"/>
      <c r="AC139" s="817"/>
      <c r="AD139" s="817"/>
      <c r="AE139" s="817"/>
      <c r="AF139" s="817"/>
      <c r="AG139" s="817"/>
      <c r="AH139" s="817"/>
      <c r="AI139" s="817"/>
      <c r="AJ139" s="817"/>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18"/>
      <c r="C140" s="817"/>
      <c r="D140" s="817"/>
      <c r="E140" s="817"/>
      <c r="F140" s="817"/>
      <c r="G140" s="817"/>
      <c r="H140" s="817"/>
      <c r="I140" s="817"/>
      <c r="J140" s="817"/>
      <c r="K140" s="817"/>
      <c r="L140" s="817"/>
      <c r="M140" s="817"/>
      <c r="N140" s="817"/>
      <c r="O140" s="817"/>
      <c r="P140" s="817"/>
      <c r="Q140" s="817"/>
      <c r="R140" s="817"/>
      <c r="S140" s="817"/>
      <c r="T140" s="817"/>
      <c r="U140" s="817"/>
      <c r="V140" s="817"/>
      <c r="W140" s="817"/>
      <c r="X140" s="817"/>
      <c r="Y140" s="817"/>
      <c r="Z140" s="817"/>
      <c r="AA140" s="817"/>
      <c r="AB140" s="817"/>
      <c r="AC140" s="817"/>
      <c r="AD140" s="817"/>
      <c r="AE140" s="817"/>
      <c r="AF140" s="817"/>
      <c r="AG140" s="817"/>
      <c r="AH140" s="817"/>
      <c r="AI140" s="817"/>
      <c r="AJ140" s="817"/>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18"/>
      <c r="C141" s="817"/>
      <c r="D141" s="817"/>
      <c r="E141" s="817"/>
      <c r="F141" s="817"/>
      <c r="G141" s="817"/>
      <c r="H141" s="817"/>
      <c r="I141" s="817"/>
      <c r="J141" s="817"/>
      <c r="K141" s="817"/>
      <c r="L141" s="817"/>
      <c r="M141" s="817"/>
      <c r="N141" s="817"/>
      <c r="O141" s="817"/>
      <c r="P141" s="817"/>
      <c r="Q141" s="817"/>
      <c r="R141" s="817"/>
      <c r="S141" s="817"/>
      <c r="T141" s="817"/>
      <c r="U141" s="817"/>
      <c r="V141" s="817"/>
      <c r="W141" s="817"/>
      <c r="X141" s="817"/>
      <c r="Y141" s="817"/>
      <c r="Z141" s="817"/>
      <c r="AA141" s="817"/>
      <c r="AB141" s="817"/>
      <c r="AC141" s="817"/>
      <c r="AD141" s="817"/>
      <c r="AE141" s="817"/>
      <c r="AF141" s="817"/>
      <c r="AG141" s="817"/>
      <c r="AH141" s="817"/>
      <c r="AI141" s="817"/>
      <c r="AJ141" s="817"/>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18"/>
      <c r="C142" s="819"/>
      <c r="D142" s="819"/>
      <c r="E142" s="819"/>
      <c r="F142" s="819"/>
      <c r="G142" s="819"/>
      <c r="H142" s="819"/>
      <c r="I142" s="819"/>
      <c r="J142" s="819"/>
      <c r="K142" s="819"/>
      <c r="L142" s="819"/>
      <c r="M142" s="819"/>
      <c r="N142" s="819"/>
      <c r="O142" s="819"/>
      <c r="P142" s="819"/>
      <c r="Q142" s="819"/>
      <c r="R142" s="819"/>
      <c r="S142" s="819"/>
      <c r="T142" s="819"/>
      <c r="U142" s="819"/>
      <c r="V142" s="819"/>
      <c r="W142" s="819"/>
      <c r="X142" s="819"/>
      <c r="Y142" s="819"/>
      <c r="Z142" s="819"/>
      <c r="AA142" s="819"/>
      <c r="AB142" s="819"/>
      <c r="AC142" s="819"/>
      <c r="AD142" s="819"/>
      <c r="AE142" s="819"/>
      <c r="AF142" s="819"/>
      <c r="AG142" s="819"/>
      <c r="AH142" s="819"/>
      <c r="AI142" s="819"/>
      <c r="AJ142" s="819"/>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19"/>
      <c r="E143" s="819"/>
      <c r="F143" s="819"/>
      <c r="G143" s="819"/>
      <c r="H143" s="819"/>
      <c r="I143" s="819"/>
      <c r="J143" s="819"/>
      <c r="K143" s="819"/>
      <c r="L143" s="819"/>
      <c r="M143" s="819"/>
      <c r="N143" s="819"/>
      <c r="O143" s="819"/>
      <c r="P143" s="819"/>
      <c r="Q143" s="819"/>
      <c r="R143" s="819"/>
      <c r="S143" s="819"/>
      <c r="T143" s="819"/>
      <c r="U143" s="819"/>
      <c r="V143" s="819"/>
      <c r="W143" s="819"/>
      <c r="X143" s="819"/>
      <c r="Y143" s="819"/>
      <c r="Z143" s="819"/>
      <c r="AA143" s="819"/>
      <c r="AB143" s="819"/>
      <c r="AC143" s="819"/>
      <c r="AD143" s="819"/>
      <c r="AE143" s="819"/>
      <c r="AF143" s="819"/>
      <c r="AG143" s="819"/>
      <c r="AH143" s="819"/>
      <c r="AI143" s="819"/>
      <c r="AJ143" s="819"/>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20"/>
      <c r="C144" s="819"/>
      <c r="D144" s="819"/>
      <c r="E144" s="819"/>
      <c r="F144" s="819"/>
      <c r="G144" s="819"/>
      <c r="H144" s="819"/>
      <c r="I144" s="819"/>
      <c r="J144" s="81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19"/>
      <c r="AJ144" s="819"/>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19"/>
      <c r="D145" s="819"/>
      <c r="E145" s="819"/>
      <c r="F145" s="819"/>
      <c r="G145" s="819"/>
      <c r="H145" s="819"/>
      <c r="I145" s="819"/>
      <c r="J145" s="81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19"/>
      <c r="AJ145" s="819"/>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19"/>
      <c r="E146" s="819"/>
      <c r="F146" s="819"/>
      <c r="G146" s="819"/>
      <c r="H146" s="819"/>
      <c r="I146" s="819"/>
      <c r="J146" s="81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19"/>
      <c r="AJ146" s="819"/>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2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381"/>
      <c r="G150" s="2381"/>
      <c r="H150" s="2381"/>
      <c r="I150" s="2381"/>
      <c r="J150" s="2381"/>
      <c r="K150" s="2381"/>
      <c r="L150" s="2381"/>
      <c r="M150" s="2381"/>
      <c r="N150" s="2381"/>
      <c r="O150" s="2381"/>
      <c r="P150" s="2381"/>
      <c r="Q150" s="2381"/>
      <c r="R150" s="2381"/>
      <c r="S150" s="2381"/>
      <c r="T150" s="238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1934" t="s">
        <v>2603</v>
      </c>
      <c r="P153" s="1934"/>
      <c r="Q153" s="1934"/>
      <c r="R153" s="1934"/>
      <c r="S153" s="1934"/>
      <c r="T153" s="1934"/>
      <c r="U153" s="1934"/>
      <c r="V153" s="1934"/>
      <c r="W153" s="1934"/>
      <c r="X153" s="1934"/>
      <c r="Y153" s="1934"/>
      <c r="Z153" s="1934"/>
      <c r="AA153" s="1934"/>
      <c r="AB153" s="1934"/>
      <c r="AC153" s="1934"/>
      <c r="AD153" s="1934"/>
      <c r="AE153" s="1934"/>
      <c r="AF153" s="1934"/>
      <c r="AG153" s="1934"/>
      <c r="AH153" s="1934"/>
    </row>
    <row r="154" spans="1:96" ht="12.75" customHeight="1">
      <c r="D154" s="467" t="s">
        <v>464</v>
      </c>
      <c r="F154" s="32"/>
      <c r="G154" s="32"/>
      <c r="H154" s="32"/>
      <c r="I154" s="32"/>
      <c r="J154" s="32"/>
      <c r="K154" s="32"/>
      <c r="L154" s="32"/>
      <c r="M154" s="32"/>
      <c r="N154" s="32"/>
      <c r="O154" s="1932" t="s">
        <v>2604</v>
      </c>
      <c r="P154" s="1932"/>
      <c r="Q154" s="1932"/>
      <c r="R154" s="1932"/>
      <c r="S154" s="1932"/>
      <c r="T154" s="1932"/>
      <c r="U154" s="1932"/>
      <c r="V154" s="1932"/>
      <c r="W154" s="1932"/>
      <c r="X154" s="1932"/>
      <c r="Y154" s="1932"/>
      <c r="Z154" s="1932"/>
      <c r="AA154" s="1932"/>
      <c r="AB154" s="1932"/>
      <c r="AC154" s="1932"/>
      <c r="AD154" s="1932"/>
      <c r="AE154" s="1932"/>
      <c r="AF154" s="1932"/>
      <c r="AG154" s="1932"/>
      <c r="AH154" s="1932"/>
      <c r="AZ154" s="25"/>
    </row>
    <row r="155" spans="1:96" ht="12.75">
      <c r="D155" s="13" t="s">
        <v>466</v>
      </c>
      <c r="F155" s="13"/>
      <c r="G155" s="13"/>
      <c r="H155" s="13"/>
      <c r="I155" s="13"/>
      <c r="J155" s="13"/>
      <c r="K155" s="13"/>
      <c r="L155" s="13"/>
      <c r="M155" s="13"/>
      <c r="N155" s="13"/>
      <c r="O155" s="2346" t="s">
        <v>465</v>
      </c>
      <c r="P155" s="2346"/>
      <c r="Q155" s="2346"/>
      <c r="R155" s="2346"/>
      <c r="S155" s="2346"/>
      <c r="T155" s="2346"/>
      <c r="U155" s="2346"/>
      <c r="V155" s="2346"/>
      <c r="W155" s="2346"/>
      <c r="X155" s="2346"/>
      <c r="Y155" s="2346"/>
      <c r="Z155" s="2346"/>
      <c r="AA155" s="2346"/>
      <c r="AB155" s="2346"/>
      <c r="AC155" s="2346"/>
      <c r="AD155" s="2346"/>
      <c r="AE155" s="2346"/>
      <c r="AF155" s="2346"/>
      <c r="AG155" s="2346"/>
      <c r="AH155" s="2346"/>
      <c r="AZ155" s="25"/>
    </row>
    <row r="156" spans="1:96" ht="12.75">
      <c r="D156" s="32" t="s">
        <v>324</v>
      </c>
      <c r="F156" s="32"/>
      <c r="G156" s="32"/>
      <c r="H156" s="32"/>
      <c r="I156" s="32"/>
      <c r="J156" s="32"/>
      <c r="K156" s="32"/>
      <c r="L156" s="32"/>
      <c r="M156" s="32"/>
      <c r="N156" s="32"/>
      <c r="O156" s="1935" t="s">
        <v>2605</v>
      </c>
      <c r="P156" s="1935"/>
      <c r="Q156" s="1935"/>
      <c r="R156" s="1935"/>
      <c r="S156" s="1935"/>
      <c r="T156" s="1935"/>
      <c r="U156" s="1935"/>
      <c r="V156" s="1935"/>
      <c r="W156" s="1935"/>
      <c r="X156" s="1935"/>
      <c r="Y156" s="1935"/>
      <c r="Z156" s="1935"/>
      <c r="AA156" s="1935"/>
      <c r="AB156" s="1935"/>
      <c r="AC156" s="1935"/>
      <c r="AD156" s="1935"/>
      <c r="AE156" s="1935"/>
      <c r="AF156" s="1935"/>
      <c r="AG156" s="1935"/>
      <c r="AH156" s="1935"/>
      <c r="BT156" s="12" t="s">
        <v>318</v>
      </c>
    </row>
    <row r="157" spans="1:96" ht="12.75">
      <c r="D157" s="32" t="s">
        <v>325</v>
      </c>
      <c r="F157" s="32"/>
      <c r="G157" s="32"/>
      <c r="H157" s="32"/>
      <c r="I157" s="32"/>
      <c r="J157" s="32"/>
      <c r="K157" s="32"/>
      <c r="L157" s="32"/>
      <c r="M157" s="32"/>
      <c r="N157" s="32"/>
      <c r="O157" s="1934" t="s">
        <v>2606</v>
      </c>
      <c r="P157" s="1934"/>
      <c r="Q157" s="1934"/>
      <c r="R157" s="1934"/>
      <c r="S157" s="1934"/>
      <c r="T157" s="1934"/>
      <c r="U157" s="1934"/>
      <c r="V157" s="1934"/>
      <c r="W157" s="1934"/>
      <c r="X157" s="1934"/>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371">
        <v>93901</v>
      </c>
      <c r="P158" s="2371"/>
      <c r="Q158" s="2371"/>
      <c r="R158" s="2371"/>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362">
        <v>8317555113</v>
      </c>
      <c r="P159" s="2362"/>
      <c r="Q159" s="2362"/>
      <c r="R159" s="2362"/>
      <c r="S159" s="2362"/>
      <c r="T159" s="2362"/>
      <c r="V159" s="146" t="s">
        <v>279</v>
      </c>
      <c r="W159" s="2372"/>
      <c r="X159" s="2372"/>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362">
        <v>8317575792</v>
      </c>
      <c r="P160" s="2362"/>
      <c r="Q160" s="2362"/>
      <c r="R160" s="2362"/>
      <c r="S160" s="2362"/>
      <c r="T160" s="2362"/>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47" t="s">
        <v>2607</v>
      </c>
      <c r="P161" s="2347"/>
      <c r="Q161" s="2347"/>
      <c r="R161" s="2347"/>
      <c r="S161" s="2347"/>
      <c r="T161" s="2347"/>
      <c r="U161" s="2347"/>
      <c r="V161" s="2347"/>
      <c r="W161" s="2347"/>
      <c r="X161" s="2347"/>
      <c r="Y161" s="2347"/>
      <c r="Z161" s="2347"/>
      <c r="AA161" s="2347"/>
      <c r="AB161" s="2347"/>
      <c r="AC161" s="2347"/>
      <c r="AD161" s="2347"/>
      <c r="AE161" s="2347"/>
      <c r="AF161" s="2347"/>
      <c r="AG161" s="2347"/>
      <c r="AH161" s="2347"/>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373" t="s">
        <v>1465</v>
      </c>
      <c r="E164" s="2373"/>
      <c r="F164" s="2373"/>
      <c r="G164" s="2373"/>
      <c r="H164" s="2373"/>
      <c r="I164" s="2373"/>
      <c r="J164" s="2373"/>
      <c r="K164" s="2373"/>
      <c r="L164" s="2373"/>
      <c r="M164" s="2373"/>
      <c r="N164" s="2373"/>
      <c r="O164" s="2373"/>
      <c r="P164" s="2373"/>
      <c r="Q164" s="2373"/>
      <c r="R164" s="2373"/>
      <c r="S164" s="2373"/>
      <c r="T164" s="2373"/>
      <c r="U164" s="2373"/>
      <c r="V164" s="2373"/>
      <c r="W164" s="2373"/>
      <c r="X164" s="2373"/>
      <c r="Y164" s="2373"/>
      <c r="Z164" s="2373"/>
      <c r="AA164" s="2373"/>
      <c r="AB164" s="2373"/>
      <c r="AC164" s="2373"/>
      <c r="AD164" s="2373"/>
      <c r="AE164" s="2373"/>
      <c r="AF164" s="2373"/>
      <c r="AG164" s="2373"/>
      <c r="AH164" s="2373"/>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293" t="s">
        <v>574</v>
      </c>
      <c r="B169" s="2293"/>
      <c r="C169" s="2293"/>
      <c r="D169" s="2293"/>
      <c r="E169" s="2293"/>
      <c r="F169" s="2293"/>
      <c r="G169" s="2293"/>
      <c r="H169" s="2293"/>
      <c r="I169" s="2293"/>
      <c r="J169" s="2293"/>
      <c r="K169" s="2293"/>
      <c r="L169" s="2293"/>
      <c r="M169" s="2293"/>
      <c r="N169" s="2293"/>
      <c r="O169" s="2293"/>
      <c r="P169" s="2293"/>
      <c r="Q169" s="2293"/>
      <c r="R169" s="2293"/>
      <c r="S169" s="2293"/>
      <c r="T169" s="2293"/>
      <c r="U169" s="2293"/>
      <c r="V169" s="2293"/>
      <c r="W169" s="2293"/>
      <c r="X169" s="2293"/>
      <c r="Y169" s="2293"/>
      <c r="Z169" s="2293"/>
      <c r="AA169" s="2293"/>
      <c r="AB169" s="2293"/>
      <c r="AC169" s="2293"/>
      <c r="AD169" s="2293"/>
      <c r="AE169" s="2293"/>
      <c r="AF169" s="2293"/>
      <c r="AG169" s="2293"/>
      <c r="AH169" s="2293"/>
      <c r="AI169" s="2293"/>
      <c r="AJ169" s="2293"/>
      <c r="AK169" s="2293"/>
      <c r="AL169" s="2293"/>
      <c r="AM169" s="144"/>
      <c r="AN169" s="144"/>
      <c r="AO169" s="144"/>
      <c r="AP169" s="144"/>
      <c r="AQ169" s="144"/>
      <c r="AR169" s="144"/>
      <c r="AS169" s="144"/>
      <c r="AT169" s="144"/>
      <c r="AU169" s="144"/>
      <c r="AV169" s="144"/>
      <c r="AW169" s="144"/>
      <c r="AX169" s="144"/>
      <c r="AY169" s="144"/>
      <c r="BN169" s="36" t="s">
        <v>712</v>
      </c>
      <c r="BT169" s="12" t="s">
        <v>523</v>
      </c>
    </row>
    <row r="170" spans="1:72" ht="13.5" thickBot="1">
      <c r="A170" s="2294"/>
      <c r="B170" s="2294"/>
      <c r="C170" s="2294"/>
      <c r="D170" s="2294"/>
      <c r="E170" s="2294"/>
      <c r="F170" s="2294"/>
      <c r="G170" s="2294"/>
      <c r="H170" s="2294"/>
      <c r="I170" s="2294"/>
      <c r="J170" s="2294"/>
      <c r="K170" s="2294"/>
      <c r="L170" s="2294"/>
      <c r="M170" s="2294"/>
      <c r="N170" s="2294"/>
      <c r="O170" s="2294"/>
      <c r="P170" s="2294"/>
      <c r="Q170" s="2294"/>
      <c r="R170" s="2294"/>
      <c r="S170" s="2294"/>
      <c r="T170" s="2294"/>
      <c r="U170" s="2294"/>
      <c r="V170" s="2294"/>
      <c r="W170" s="2294"/>
      <c r="X170" s="2294"/>
      <c r="Y170" s="2294"/>
      <c r="Z170" s="2294"/>
      <c r="AA170" s="2294"/>
      <c r="AB170" s="2294"/>
      <c r="AC170" s="2294"/>
      <c r="AD170" s="2294"/>
      <c r="AE170" s="2294"/>
      <c r="AF170" s="2294"/>
      <c r="AG170" s="2294"/>
      <c r="AH170" s="2294"/>
      <c r="AI170" s="2294"/>
      <c r="AJ170" s="2294"/>
      <c r="AK170" s="2294"/>
      <c r="AL170" s="2294"/>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365" t="s">
        <v>391</v>
      </c>
      <c r="K173" s="2365"/>
      <c r="L173" s="2365"/>
      <c r="M173" s="2365"/>
      <c r="N173" s="2365"/>
      <c r="O173" s="2365"/>
      <c r="P173" s="2365"/>
      <c r="Q173" s="2365"/>
      <c r="R173" s="2365"/>
      <c r="S173" s="2365"/>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1935" t="s">
        <v>2458</v>
      </c>
      <c r="K174" s="1935"/>
      <c r="L174" s="1935"/>
      <c r="M174" s="1935"/>
      <c r="N174" s="1935"/>
      <c r="O174" s="1935"/>
      <c r="P174" s="1935"/>
      <c r="Q174" s="1935"/>
      <c r="R174" s="1935"/>
      <c r="S174" s="1935"/>
      <c r="T174" s="1935"/>
      <c r="U174" s="1935"/>
      <c r="V174" s="1935"/>
      <c r="W174" s="1935"/>
      <c r="X174" s="1935"/>
      <c r="Y174" s="1935"/>
      <c r="Z174" s="1935"/>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1961" t="s">
        <v>708</v>
      </c>
      <c r="V175" s="1961"/>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1924"/>
      <c r="V176" s="1924"/>
      <c r="W176" s="4" t="s">
        <v>317</v>
      </c>
      <c r="X176" s="2366"/>
      <c r="Y176" s="2366"/>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1961"/>
      <c r="S177" s="1961"/>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189"/>
      <c r="AG178" s="2189"/>
      <c r="AH178" s="4" t="s">
        <v>317</v>
      </c>
      <c r="AI178" s="2348"/>
      <c r="AJ178" s="2348"/>
      <c r="AK178" s="2348"/>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1961" t="s">
        <v>708</v>
      </c>
      <c r="Y180" s="1961"/>
      <c r="Z180" s="808"/>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1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839"/>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156" t="str">
        <f>H18</f>
        <v>CHISPA East Garrison Apartments</v>
      </c>
      <c r="J184" s="2156"/>
      <c r="K184" s="2156"/>
      <c r="L184" s="2156"/>
      <c r="M184" s="2156"/>
      <c r="N184" s="2156"/>
      <c r="O184" s="2156"/>
      <c r="P184" s="2156"/>
      <c r="Q184" s="2156"/>
      <c r="R184" s="2156"/>
      <c r="S184" s="2156"/>
      <c r="T184" s="2156"/>
      <c r="U184" s="2156"/>
      <c r="V184" s="2156"/>
      <c r="W184" s="2156"/>
      <c r="X184" s="2156"/>
      <c r="Y184" s="2156"/>
      <c r="Z184" s="2156"/>
      <c r="AA184" s="2156"/>
      <c r="AB184" s="2156"/>
      <c r="AC184" s="2156"/>
      <c r="AD184" s="2156"/>
      <c r="AE184" s="2156"/>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162" t="s">
        <v>2489</v>
      </c>
      <c r="J185" s="2162"/>
      <c r="K185" s="2162"/>
      <c r="L185" s="2162"/>
      <c r="M185" s="2162"/>
      <c r="N185" s="2162"/>
      <c r="O185" s="2162"/>
      <c r="P185" s="2162"/>
      <c r="Q185" s="2162"/>
      <c r="R185" s="2162"/>
      <c r="S185" s="2162"/>
      <c r="T185" s="2162"/>
      <c r="U185" s="2162"/>
      <c r="V185" s="2162"/>
      <c r="W185" s="2162"/>
      <c r="X185" s="2162"/>
      <c r="Y185" s="2162"/>
      <c r="Z185" s="2162"/>
      <c r="AA185" s="2162"/>
      <c r="AB185" s="2162"/>
      <c r="AC185" s="2162"/>
      <c r="AD185" s="2162"/>
      <c r="AE185" s="2162"/>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358"/>
      <c r="F187" s="2358"/>
      <c r="G187" s="2358"/>
      <c r="H187" s="2358"/>
      <c r="I187" s="2358"/>
      <c r="J187" s="2358"/>
      <c r="K187" s="2358"/>
      <c r="L187" s="2358"/>
      <c r="M187" s="2358"/>
      <c r="N187" s="2358"/>
      <c r="O187" s="2358"/>
      <c r="P187" s="2358"/>
      <c r="Q187" s="2358"/>
      <c r="R187" s="2358"/>
      <c r="S187" s="2358"/>
      <c r="T187" s="2358"/>
      <c r="U187" s="2358"/>
      <c r="V187" s="2358"/>
      <c r="W187" s="2358"/>
      <c r="X187" s="2358"/>
      <c r="Y187" s="2358"/>
      <c r="Z187" s="2358"/>
      <c r="AA187" s="2358"/>
      <c r="AB187" s="2358"/>
      <c r="AC187" s="2358"/>
      <c r="AD187" s="2358"/>
      <c r="AE187" s="2358"/>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359"/>
      <c r="F188" s="2359"/>
      <c r="G188" s="2359"/>
      <c r="H188" s="2359"/>
      <c r="I188" s="2359"/>
      <c r="J188" s="2359"/>
      <c r="K188" s="2359"/>
      <c r="L188" s="2359"/>
      <c r="M188" s="2359"/>
      <c r="N188" s="2359"/>
      <c r="O188" s="2359"/>
      <c r="P188" s="2359"/>
      <c r="Q188" s="2359"/>
      <c r="R188" s="2359"/>
      <c r="S188" s="2359"/>
      <c r="T188" s="2359"/>
      <c r="U188" s="2359"/>
      <c r="V188" s="2359"/>
      <c r="W188" s="2359"/>
      <c r="X188" s="2359"/>
      <c r="Y188" s="2359"/>
      <c r="Z188" s="2359"/>
      <c r="AA188" s="2359"/>
      <c r="AB188" s="2359"/>
      <c r="AC188" s="2359"/>
      <c r="AD188" s="2359"/>
      <c r="AE188" s="2359"/>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1935" t="s">
        <v>2487</v>
      </c>
      <c r="J189" s="1935"/>
      <c r="K189" s="1935"/>
      <c r="L189" s="1935"/>
      <c r="M189" s="1935"/>
      <c r="N189" s="1935"/>
      <c r="O189" s="1935"/>
      <c r="P189" s="1935"/>
      <c r="Q189" s="25" t="s">
        <v>619</v>
      </c>
      <c r="T189" s="1935" t="s">
        <v>64</v>
      </c>
      <c r="U189" s="1935"/>
      <c r="V189" s="1935"/>
      <c r="W189" s="1935"/>
      <c r="X189" s="1935"/>
      <c r="Y189" s="1935"/>
      <c r="Z189" s="1935"/>
      <c r="AA189" s="1935"/>
      <c r="AB189" s="1935"/>
      <c r="AC189" s="1935"/>
      <c r="AD189" s="1935"/>
      <c r="AE189" s="1935"/>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162">
        <v>93933</v>
      </c>
      <c r="J190" s="2162"/>
      <c r="K190" s="2162"/>
      <c r="L190" s="2162"/>
      <c r="M190" s="2162"/>
      <c r="N190" s="2162"/>
      <c r="O190" s="25" t="s">
        <v>622</v>
      </c>
      <c r="P190" s="25"/>
      <c r="Q190" s="25"/>
      <c r="R190" s="25"/>
      <c r="S190" s="25"/>
      <c r="T190" s="2364">
        <v>141.57</v>
      </c>
      <c r="U190" s="2364"/>
      <c r="V190" s="2364"/>
      <c r="W190" s="2364"/>
      <c r="X190" s="2364"/>
      <c r="Y190" s="2364"/>
      <c r="Z190" s="2364"/>
      <c r="AA190" s="2364"/>
      <c r="AB190" s="2364"/>
      <c r="AC190" s="2364"/>
      <c r="AD190" s="2364"/>
      <c r="AE190" s="2364"/>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369" t="s">
        <v>2488</v>
      </c>
      <c r="O191" s="2369"/>
      <c r="P191" s="2369"/>
      <c r="Q191" s="2369"/>
      <c r="R191" s="2369"/>
      <c r="S191" s="2369"/>
      <c r="T191" s="2369"/>
      <c r="U191" s="2369"/>
      <c r="V191" s="2369"/>
      <c r="W191" s="2369"/>
      <c r="X191" s="2369"/>
      <c r="Y191" s="2369"/>
      <c r="Z191" s="2369"/>
      <c r="AA191" s="2369"/>
      <c r="AB191" s="2369"/>
      <c r="AC191" s="2369"/>
      <c r="AD191" s="2369"/>
      <c r="AE191" s="2369"/>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359"/>
      <c r="O192" s="2359"/>
      <c r="P192" s="2359"/>
      <c r="Q192" s="2359"/>
      <c r="R192" s="2359"/>
      <c r="S192" s="2359"/>
      <c r="T192" s="2359"/>
      <c r="U192" s="2359"/>
      <c r="V192" s="2359"/>
      <c r="W192" s="2359"/>
      <c r="X192" s="2359"/>
      <c r="Y192" s="2359"/>
      <c r="Z192" s="2359"/>
      <c r="AA192" s="2359"/>
      <c r="AB192" s="2359"/>
      <c r="AC192" s="2359"/>
      <c r="AD192" s="2359"/>
      <c r="AE192" s="2359"/>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1994</v>
      </c>
      <c r="BN192" s="36" t="s">
        <v>729</v>
      </c>
      <c r="BT192" s="12" t="s">
        <v>773</v>
      </c>
    </row>
    <row r="193" spans="1:96" ht="12.75">
      <c r="A193" s="25"/>
      <c r="B193" s="720"/>
      <c r="C193" s="46"/>
      <c r="D193" s="688" t="s">
        <v>2032</v>
      </c>
      <c r="E193" s="25"/>
      <c r="F193" s="25"/>
      <c r="G193" s="25"/>
      <c r="H193" s="25"/>
      <c r="I193" s="25"/>
      <c r="J193" s="25"/>
      <c r="K193" s="25"/>
      <c r="L193" s="25"/>
      <c r="M193" s="170"/>
      <c r="N193" s="1439"/>
      <c r="O193" s="1439"/>
      <c r="P193" s="1439"/>
      <c r="Q193" s="1439"/>
      <c r="R193" s="1439"/>
      <c r="S193" s="1439"/>
      <c r="T193" s="2360"/>
      <c r="U193" s="2360"/>
      <c r="V193" s="2360"/>
      <c r="W193" s="2360"/>
      <c r="X193" s="2360"/>
      <c r="Y193" s="2360"/>
      <c r="Z193" s="2360"/>
      <c r="AA193" s="2360"/>
      <c r="AB193" s="2360"/>
      <c r="AC193" s="2360"/>
      <c r="AD193" s="2360"/>
      <c r="AE193" s="2360"/>
      <c r="AF193" s="2360"/>
      <c r="AG193" s="2360"/>
      <c r="AH193" s="2360"/>
      <c r="AI193" s="2360"/>
      <c r="AJ193" s="682"/>
      <c r="AK193" s="682"/>
      <c r="AL193" s="682"/>
      <c r="AM193" s="682"/>
      <c r="AN193" s="682"/>
      <c r="AO193" s="682"/>
      <c r="AP193" s="682"/>
      <c r="AQ193" s="682"/>
      <c r="AR193" s="682"/>
      <c r="AS193" s="682"/>
      <c r="AT193" s="682"/>
      <c r="AU193" s="682"/>
      <c r="AV193" s="682"/>
      <c r="AW193" s="682"/>
      <c r="AX193" s="682"/>
      <c r="AY193" s="682"/>
      <c r="BC193" s="720" t="s">
        <v>1160</v>
      </c>
      <c r="BH193" s="58" t="s">
        <v>1995</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1961" t="s">
        <v>580</v>
      </c>
      <c r="U194" s="1961"/>
      <c r="W194" s="25" t="s">
        <v>724</v>
      </c>
      <c r="X194" s="25"/>
      <c r="Y194" s="25"/>
      <c r="Z194" s="25"/>
      <c r="AA194" s="25"/>
      <c r="AB194" s="25"/>
      <c r="AC194" s="25"/>
      <c r="AD194" s="25"/>
      <c r="AE194" s="25"/>
      <c r="AF194" s="25"/>
      <c r="AG194" s="25"/>
      <c r="AH194" s="1961">
        <v>20</v>
      </c>
      <c r="AI194" s="1961"/>
      <c r="AJ194" s="3"/>
      <c r="AK194" s="3"/>
      <c r="AL194" s="3"/>
      <c r="AM194" s="682"/>
      <c r="AN194" s="682"/>
      <c r="AO194" s="682"/>
      <c r="AP194" s="682"/>
      <c r="AQ194" s="682"/>
      <c r="AR194" s="682"/>
      <c r="AS194" s="682"/>
      <c r="AT194" s="682"/>
      <c r="AU194" s="682"/>
      <c r="AV194" s="682"/>
      <c r="AW194" s="682"/>
      <c r="AX194" s="682"/>
      <c r="AY194" s="682"/>
      <c r="BC194" s="720" t="s">
        <v>1650</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191" t="s">
        <v>708</v>
      </c>
      <c r="U195" s="2191"/>
      <c r="V195" s="12"/>
      <c r="W195" s="25" t="s">
        <v>725</v>
      </c>
      <c r="X195" s="25"/>
      <c r="Y195" s="25"/>
      <c r="Z195" s="25"/>
      <c r="AA195" s="25"/>
      <c r="AB195" s="25"/>
      <c r="AC195" s="25"/>
      <c r="AD195" s="25"/>
      <c r="AE195" s="25"/>
      <c r="AF195" s="25"/>
      <c r="AG195" s="25"/>
      <c r="AH195" s="1961">
        <v>29</v>
      </c>
      <c r="AI195" s="1961"/>
      <c r="AJ195" s="3"/>
      <c r="AK195" s="3"/>
      <c r="AL195" s="3"/>
      <c r="AM195" s="682"/>
      <c r="AN195" s="682"/>
      <c r="AO195" s="682"/>
      <c r="AP195" s="682"/>
      <c r="AQ195" s="682"/>
      <c r="AR195" s="682"/>
      <c r="AS195" s="682"/>
      <c r="AT195" s="682"/>
      <c r="AU195" s="682"/>
      <c r="AV195" s="682"/>
      <c r="AW195" s="682"/>
      <c r="AX195" s="682"/>
      <c r="AY195" s="682"/>
      <c r="BC195" s="720" t="s">
        <v>2456</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191" t="s">
        <v>708</v>
      </c>
      <c r="U196" s="2191"/>
      <c r="W196" s="25" t="s">
        <v>726</v>
      </c>
      <c r="X196" s="25"/>
      <c r="Y196" s="25"/>
      <c r="Z196" s="25"/>
      <c r="AA196" s="25"/>
      <c r="AB196" s="25"/>
      <c r="AC196" s="25"/>
      <c r="AD196" s="25"/>
      <c r="AE196" s="25"/>
      <c r="AF196" s="25"/>
      <c r="AG196" s="25"/>
      <c r="AH196" s="1961">
        <v>17</v>
      </c>
      <c r="AI196" s="1961"/>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2024</v>
      </c>
      <c r="E197" s="25"/>
      <c r="F197" s="25"/>
      <c r="G197" s="25"/>
      <c r="H197" s="25"/>
      <c r="I197" s="25"/>
      <c r="J197" s="25"/>
      <c r="K197" s="25"/>
      <c r="L197" s="25"/>
      <c r="M197" s="25"/>
      <c r="N197" s="25"/>
      <c r="O197" s="25"/>
      <c r="P197" s="25"/>
      <c r="Q197" s="25"/>
      <c r="R197" s="25"/>
      <c r="S197" s="720"/>
      <c r="T197" s="2191"/>
      <c r="U197" s="2191"/>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1961" t="s">
        <v>580</v>
      </c>
      <c r="Z198" s="1961"/>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645"/>
      <c r="AI199" s="1645"/>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837"/>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156" t="s">
        <v>405</v>
      </c>
      <c r="E203" s="2156"/>
      <c r="F203" s="2156"/>
      <c r="G203" s="2156"/>
      <c r="H203" s="2156"/>
      <c r="I203" s="2156"/>
      <c r="J203" s="2156"/>
      <c r="K203" s="2156"/>
      <c r="L203" s="2156"/>
      <c r="M203" s="2156"/>
      <c r="P203" s="2351">
        <f ca="1">M26</f>
        <v>2069793.5</v>
      </c>
      <c r="Q203" s="2352"/>
      <c r="R203" s="2352"/>
      <c r="S203" s="2352"/>
      <c r="T203" s="2352"/>
      <c r="U203" s="2352"/>
      <c r="V203" s="25"/>
      <c r="W203" s="25"/>
      <c r="X203" s="25"/>
      <c r="Y203" s="25"/>
      <c r="Z203" s="2375" t="s">
        <v>1388</v>
      </c>
      <c r="AA203" s="2375"/>
      <c r="AB203" s="2375"/>
      <c r="AC203" s="2375"/>
      <c r="AD203" s="2375"/>
      <c r="AE203" s="2375"/>
      <c r="AF203" s="2375"/>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374" t="s">
        <v>1487</v>
      </c>
      <c r="E204" s="2156"/>
      <c r="F204" s="2156"/>
      <c r="G204" s="2156"/>
      <c r="H204" s="2156"/>
      <c r="I204" s="2156"/>
      <c r="J204" s="2156"/>
      <c r="K204" s="2156"/>
      <c r="L204" s="2156"/>
      <c r="M204" s="2156"/>
      <c r="P204" s="2352">
        <f ca="1">M27</f>
        <v>0</v>
      </c>
      <c r="Q204" s="2352"/>
      <c r="R204" s="2352"/>
      <c r="S204" s="2352"/>
      <c r="T204" s="2352"/>
      <c r="U204" s="2352"/>
      <c r="V204" s="47"/>
      <c r="W204" s="58" t="s">
        <v>2237</v>
      </c>
      <c r="Z204" s="2375"/>
      <c r="AA204" s="2375"/>
      <c r="AB204" s="2375"/>
      <c r="AC204" s="2375"/>
      <c r="AD204" s="2375"/>
      <c r="AE204" s="2375"/>
      <c r="AF204" s="2375"/>
      <c r="AG204" s="25" t="s">
        <v>1488</v>
      </c>
      <c r="AH204" s="25"/>
      <c r="AI204" s="25"/>
      <c r="AJ204" s="25"/>
      <c r="AK204" s="25"/>
      <c r="AL204" s="25"/>
      <c r="AM204" s="25"/>
      <c r="AN204" s="25"/>
      <c r="AO204" s="25"/>
      <c r="AP204" s="1961" t="s">
        <v>708</v>
      </c>
      <c r="AQ204" s="1961"/>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376"/>
      <c r="AA205" s="2376"/>
      <c r="AB205" s="2376"/>
      <c r="AC205" s="2376"/>
      <c r="AD205" s="2376"/>
      <c r="AE205" s="2376"/>
      <c r="AF205" s="2376"/>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223" t="s">
        <v>2558</v>
      </c>
      <c r="E207" s="2223"/>
      <c r="F207" s="2223"/>
      <c r="G207" s="2223"/>
      <c r="H207" s="2223"/>
      <c r="I207" s="2223"/>
      <c r="J207" s="2223"/>
      <c r="K207" s="2223"/>
      <c r="L207" s="2223"/>
      <c r="M207" s="222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223" t="s">
        <v>1159</v>
      </c>
      <c r="E210" s="2223"/>
      <c r="F210" s="2223"/>
      <c r="G210" s="2223"/>
      <c r="H210" s="2223"/>
      <c r="I210" s="2223"/>
      <c r="J210" s="2223"/>
      <c r="K210" s="2223"/>
      <c r="L210" s="2223"/>
      <c r="M210" s="2223"/>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1961"/>
      <c r="Z211" s="1961"/>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1993</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456" t="s">
        <v>628</v>
      </c>
      <c r="E213" s="2456"/>
      <c r="F213" s="2456"/>
      <c r="G213" s="2456"/>
      <c r="H213" s="2456"/>
      <c r="I213" s="2456"/>
      <c r="J213" s="2456"/>
      <c r="K213" s="2456"/>
      <c r="L213" s="2456"/>
      <c r="M213" s="2456"/>
      <c r="N213" s="2456"/>
      <c r="O213" s="2456"/>
      <c r="P213" s="2456"/>
      <c r="Q213" s="2456"/>
      <c r="R213" s="2456"/>
      <c r="S213" s="2456"/>
      <c r="T213" s="2456"/>
      <c r="U213" s="2456"/>
      <c r="V213" s="2456"/>
      <c r="W213" s="2456"/>
      <c r="X213" s="2456"/>
      <c r="Y213" s="2456"/>
      <c r="Z213" s="2456"/>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2025</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452"/>
      <c r="AC214" s="2452"/>
      <c r="AD214" s="2452"/>
      <c r="AE214" s="2452"/>
      <c r="AF214" s="2452"/>
      <c r="AG214" s="2452"/>
      <c r="AH214" s="2452"/>
      <c r="AI214" s="2452"/>
      <c r="AJ214" s="2452"/>
      <c r="AK214" s="2452"/>
      <c r="AL214" s="2452"/>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2023</v>
      </c>
      <c r="Z215" s="69"/>
      <c r="AB215" s="2452"/>
      <c r="AC215" s="2452"/>
      <c r="AD215" s="2452"/>
      <c r="AE215" s="2452"/>
      <c r="AF215" s="2452"/>
      <c r="AG215" s="2452"/>
      <c r="AH215" s="2452"/>
      <c r="AI215" s="2452"/>
      <c r="AJ215" s="2452"/>
      <c r="AK215" s="2452"/>
      <c r="AL215" s="2452"/>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79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223" t="s">
        <v>1435</v>
      </c>
      <c r="E219" s="2223"/>
      <c r="F219" s="2223"/>
      <c r="G219" s="2223"/>
      <c r="H219" s="2223"/>
      <c r="I219" s="2223"/>
      <c r="J219" s="2223"/>
      <c r="K219" s="2223"/>
      <c r="L219" s="2223"/>
      <c r="M219" s="2223"/>
      <c r="N219" s="2223"/>
      <c r="O219" s="2223"/>
      <c r="P219" s="2223"/>
      <c r="Q219" s="2223"/>
      <c r="R219" s="2223"/>
      <c r="S219" s="2223"/>
      <c r="T219" s="2223"/>
      <c r="U219" s="2223"/>
      <c r="V219" s="2223"/>
      <c r="W219" s="2223"/>
      <c r="X219" s="2223"/>
      <c r="Y219" s="2223"/>
      <c r="Z219" s="2223"/>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293" t="s">
        <v>575</v>
      </c>
      <c r="B221" s="2293"/>
      <c r="C221" s="2293"/>
      <c r="D221" s="2293"/>
      <c r="E221" s="2293"/>
      <c r="F221" s="2293"/>
      <c r="G221" s="2293"/>
      <c r="H221" s="2293"/>
      <c r="I221" s="2293"/>
      <c r="J221" s="2293"/>
      <c r="K221" s="2293"/>
      <c r="L221" s="2293"/>
      <c r="M221" s="2293"/>
      <c r="N221" s="2293"/>
      <c r="O221" s="2293"/>
      <c r="P221" s="2293"/>
      <c r="Q221" s="2293"/>
      <c r="R221" s="2293"/>
      <c r="S221" s="2293"/>
      <c r="T221" s="2293"/>
      <c r="U221" s="2293"/>
      <c r="V221" s="2293"/>
      <c r="W221" s="2293"/>
      <c r="X221" s="2293"/>
      <c r="Y221" s="2293"/>
      <c r="Z221" s="2293"/>
      <c r="AA221" s="2293"/>
      <c r="AB221" s="2293"/>
      <c r="AC221" s="2293"/>
      <c r="AD221" s="2293"/>
      <c r="AE221" s="2293"/>
      <c r="AF221" s="2293"/>
      <c r="AG221" s="2293"/>
      <c r="AH221" s="2293"/>
      <c r="AI221" s="2293"/>
      <c r="AJ221" s="2293"/>
      <c r="AK221" s="2293"/>
      <c r="AL221" s="2293"/>
      <c r="AM221" s="144"/>
      <c r="AN221" s="144"/>
      <c r="AO221" s="144"/>
      <c r="AP221" s="144"/>
      <c r="AQ221" s="144"/>
      <c r="AR221" s="144"/>
      <c r="AS221" s="144"/>
      <c r="AT221" s="144"/>
      <c r="AU221" s="144"/>
      <c r="AV221" s="144"/>
      <c r="AW221" s="144"/>
      <c r="AX221" s="144"/>
      <c r="AY221" s="144"/>
      <c r="BA221" s="58"/>
    </row>
    <row r="222" spans="1:96" ht="13.5" thickBot="1">
      <c r="A222" s="2294"/>
      <c r="B222" s="2294"/>
      <c r="C222" s="2294"/>
      <c r="D222" s="2294"/>
      <c r="E222" s="2294"/>
      <c r="F222" s="2294"/>
      <c r="G222" s="2294"/>
      <c r="H222" s="2294"/>
      <c r="I222" s="2294"/>
      <c r="J222" s="2294"/>
      <c r="K222" s="2294"/>
      <c r="L222" s="2294"/>
      <c r="M222" s="2294"/>
      <c r="N222" s="2294"/>
      <c r="O222" s="2294"/>
      <c r="P222" s="2294"/>
      <c r="Q222" s="2294"/>
      <c r="R222" s="2294"/>
      <c r="S222" s="2294"/>
      <c r="T222" s="2294"/>
      <c r="U222" s="2294"/>
      <c r="V222" s="2294"/>
      <c r="W222" s="2294"/>
      <c r="X222" s="2294"/>
      <c r="Y222" s="2294"/>
      <c r="Z222" s="2294"/>
      <c r="AA222" s="2294"/>
      <c r="AB222" s="2294"/>
      <c r="AC222" s="2294"/>
      <c r="AD222" s="2294"/>
      <c r="AE222" s="2294"/>
      <c r="AF222" s="2294"/>
      <c r="AG222" s="2294"/>
      <c r="AH222" s="2294"/>
      <c r="AI222" s="2294"/>
      <c r="AJ222" s="2294"/>
      <c r="AK222" s="2294"/>
      <c r="AL222" s="229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61" t="s">
        <v>628</v>
      </c>
      <c r="AJ225" s="1961"/>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61" t="s">
        <v>628</v>
      </c>
      <c r="AJ226" s="1961"/>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61" t="s">
        <v>580</v>
      </c>
      <c r="AJ227" s="1961"/>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61" t="s">
        <v>628</v>
      </c>
      <c r="AJ228" s="1961"/>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368" t="str">
        <f>H16</f>
        <v>CHISPA East Garrison LP</v>
      </c>
      <c r="N231" s="2368"/>
      <c r="O231" s="2368"/>
      <c r="P231" s="2368"/>
      <c r="Q231" s="2368"/>
      <c r="R231" s="2368"/>
      <c r="S231" s="2368"/>
      <c r="T231" s="2368"/>
      <c r="U231" s="2368"/>
      <c r="V231" s="2368"/>
      <c r="W231" s="2368"/>
      <c r="X231" s="2368"/>
      <c r="Y231" s="2368"/>
      <c r="Z231" s="2368"/>
      <c r="AA231" s="2368"/>
      <c r="AB231" s="2368"/>
      <c r="AC231" s="2368"/>
      <c r="AD231" s="2368"/>
      <c r="AE231" s="2368"/>
      <c r="AF231" s="2368"/>
      <c r="AG231" s="2368"/>
      <c r="AH231" s="2368"/>
      <c r="AI231" s="2368"/>
      <c r="AJ231" s="2368"/>
      <c r="AK231" s="2368"/>
      <c r="BA231" s="58"/>
      <c r="BB231" s="385"/>
      <c r="BG231" s="388"/>
      <c r="BQ231" s="61"/>
    </row>
    <row r="232" spans="1:69" ht="12.75">
      <c r="D232" s="57" t="s">
        <v>90</v>
      </c>
      <c r="E232" s="57"/>
      <c r="F232" s="57"/>
      <c r="G232" s="57"/>
      <c r="H232" s="57"/>
      <c r="I232" s="57"/>
      <c r="J232" s="57"/>
      <c r="K232" s="7"/>
      <c r="M232" s="1934" t="s">
        <v>2490</v>
      </c>
      <c r="N232" s="1934"/>
      <c r="O232" s="1934"/>
      <c r="P232" s="1934"/>
      <c r="Q232" s="1934"/>
      <c r="R232" s="1934"/>
      <c r="S232" s="1934"/>
      <c r="T232" s="1934"/>
      <c r="U232" s="1934"/>
      <c r="V232" s="1934"/>
      <c r="W232" s="1934"/>
      <c r="X232" s="1934"/>
      <c r="Y232" s="1934"/>
      <c r="Z232" s="1934"/>
      <c r="AA232" s="1934"/>
      <c r="AB232" s="1934"/>
      <c r="AC232" s="1934"/>
      <c r="AD232" s="1934"/>
      <c r="AE232" s="1934"/>
      <c r="AZ232" s="7"/>
      <c r="BA232" s="58"/>
      <c r="BB232" s="335" t="s">
        <v>573</v>
      </c>
      <c r="BG232" s="390">
        <f>IF(AND(AND($M$248="nonprofit",$M$256="nonprofit",$M$264="for profit")),2,0)</f>
        <v>0</v>
      </c>
      <c r="BQ232" s="61"/>
    </row>
    <row r="233" spans="1:69" ht="12.75">
      <c r="D233" s="57" t="s">
        <v>617</v>
      </c>
      <c r="E233" s="57"/>
      <c r="M233" s="1934" t="s">
        <v>2491</v>
      </c>
      <c r="N233" s="1934"/>
      <c r="O233" s="1934"/>
      <c r="P233" s="1934"/>
      <c r="Q233" s="1934"/>
      <c r="R233" s="1934"/>
      <c r="S233" s="1934"/>
      <c r="T233" s="1934"/>
      <c r="V233" s="59" t="s">
        <v>91</v>
      </c>
      <c r="W233" s="1958"/>
      <c r="X233" s="1958"/>
      <c r="Y233" s="57" t="s">
        <v>620</v>
      </c>
      <c r="AC233" s="2223"/>
      <c r="AD233" s="2223"/>
      <c r="AE233" s="2223"/>
      <c r="BB233" s="335" t="s">
        <v>573</v>
      </c>
      <c r="BG233" s="390">
        <f>IF(AND(AND($M$248="nonprofit",$M$256="for profit",$M$264="nonprofit")),2,0)</f>
        <v>0</v>
      </c>
    </row>
    <row r="234" spans="1:69" ht="12.75">
      <c r="D234" s="60" t="s">
        <v>92</v>
      </c>
      <c r="E234" s="7"/>
      <c r="F234" s="7"/>
      <c r="G234" s="7"/>
      <c r="H234" s="7"/>
      <c r="I234" s="7"/>
      <c r="J234" s="7"/>
      <c r="K234" s="29"/>
      <c r="M234" s="1934" t="s">
        <v>2492</v>
      </c>
      <c r="N234" s="1934"/>
      <c r="O234" s="1934"/>
      <c r="P234" s="1934"/>
      <c r="Q234" s="1934"/>
      <c r="R234" s="1934"/>
      <c r="S234" s="1934"/>
      <c r="T234" s="1934"/>
      <c r="U234" s="1934"/>
      <c r="V234" s="1934"/>
      <c r="W234" s="1934"/>
      <c r="X234" s="1934"/>
      <c r="Y234" s="1934"/>
      <c r="Z234" s="1934"/>
      <c r="AA234" s="1934"/>
      <c r="AB234" s="1934"/>
      <c r="AC234" s="1934"/>
      <c r="AD234" s="1934"/>
      <c r="AE234" s="1934"/>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157">
        <v>8317576251</v>
      </c>
      <c r="N235" s="2157"/>
      <c r="O235" s="2157"/>
      <c r="P235" s="2157"/>
      <c r="Q235" s="2157"/>
      <c r="R235" s="2157"/>
      <c r="S235" s="7" t="s">
        <v>212</v>
      </c>
      <c r="T235" s="7"/>
      <c r="U235" s="1958">
        <v>136</v>
      </c>
      <c r="V235" s="1958"/>
      <c r="W235" s="1958"/>
      <c r="X235" s="7" t="s">
        <v>94</v>
      </c>
      <c r="Z235" s="2157">
        <v>8317578025</v>
      </c>
      <c r="AA235" s="2157"/>
      <c r="AB235" s="2157"/>
      <c r="AC235" s="2157"/>
      <c r="AD235" s="2157"/>
      <c r="AE235" s="2157"/>
      <c r="BB235" s="386"/>
      <c r="BG235" s="387"/>
    </row>
    <row r="236" spans="1:69" ht="12.75">
      <c r="D236" s="60" t="s">
        <v>95</v>
      </c>
      <c r="E236" s="7"/>
      <c r="F236" s="7"/>
      <c r="M236" s="2347" t="s">
        <v>2495</v>
      </c>
      <c r="N236" s="2347"/>
      <c r="O236" s="2347"/>
      <c r="P236" s="2347"/>
      <c r="Q236" s="2347"/>
      <c r="R236" s="2347"/>
      <c r="S236" s="2347"/>
      <c r="T236" s="2347"/>
      <c r="U236" s="2347"/>
      <c r="V236" s="2347"/>
      <c r="W236" s="2347"/>
      <c r="X236" s="2347"/>
      <c r="Y236" s="2347"/>
      <c r="Z236" s="2347"/>
      <c r="AA236" s="2347"/>
      <c r="AB236" s="2347"/>
      <c r="AC236" s="2347"/>
      <c r="AD236" s="2347"/>
      <c r="AE236" s="234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162" t="s">
        <v>563</v>
      </c>
      <c r="N237" s="2162"/>
      <c r="O237" s="2162"/>
      <c r="P237" s="2162"/>
      <c r="Q237" s="2162"/>
      <c r="R237" s="2162"/>
      <c r="S237" s="2162"/>
      <c r="T237" s="2162"/>
      <c r="U237" s="388" t="s">
        <v>979</v>
      </c>
      <c r="V237" s="326"/>
      <c r="W237" s="326"/>
      <c r="X237" s="326"/>
      <c r="Y237" s="326"/>
      <c r="Z237" s="326"/>
      <c r="AA237" s="2363" t="s">
        <v>2496</v>
      </c>
      <c r="AB237" s="2357"/>
      <c r="AC237" s="2357"/>
      <c r="AD237" s="2357"/>
      <c r="AE237" s="2357"/>
      <c r="AF237" s="2357"/>
      <c r="AG237" s="2357"/>
      <c r="AH237" s="2357"/>
      <c r="AI237" s="2357"/>
      <c r="AJ237" s="2357"/>
      <c r="AK237" s="2357"/>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1935"/>
      <c r="N238" s="1935"/>
      <c r="O238" s="1935"/>
      <c r="P238" s="1935"/>
      <c r="Q238" s="1935"/>
      <c r="R238" s="1935"/>
      <c r="S238" s="1935"/>
      <c r="T238" s="1935"/>
      <c r="U238" s="1935"/>
      <c r="V238" s="1935"/>
      <c r="W238" s="1935"/>
      <c r="X238" s="1935"/>
      <c r="Y238" s="1935"/>
      <c r="Z238" s="1935"/>
      <c r="AA238" s="1935"/>
      <c r="AB238" s="1935"/>
      <c r="AC238" s="1935"/>
      <c r="AD238" s="1935"/>
      <c r="AE238" s="193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355" t="s">
        <v>2471</v>
      </c>
      <c r="N242" s="2355"/>
      <c r="O242" s="2355"/>
      <c r="P242" s="2355"/>
      <c r="Q242" s="2355"/>
      <c r="R242" s="2355"/>
      <c r="S242" s="2355"/>
      <c r="T242" s="2355"/>
      <c r="U242" s="2355"/>
      <c r="V242" s="2355"/>
      <c r="W242" s="2355"/>
      <c r="X242" s="2355"/>
      <c r="Y242" s="2355"/>
      <c r="Z242" s="2355"/>
      <c r="AA242" s="2355"/>
      <c r="AB242" s="2355"/>
      <c r="AC242" s="2355"/>
      <c r="AD242" s="2355"/>
      <c r="AE242" s="2355"/>
      <c r="AF242" s="2356" t="s">
        <v>2497</v>
      </c>
      <c r="AG242" s="2356"/>
      <c r="AH242" s="2356"/>
      <c r="AI242" s="2356"/>
      <c r="AJ242" s="2356"/>
      <c r="AK242" s="2356"/>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1934" t="s">
        <v>2490</v>
      </c>
      <c r="N243" s="1934"/>
      <c r="O243" s="1934"/>
      <c r="P243" s="1934"/>
      <c r="Q243" s="1934"/>
      <c r="R243" s="1934"/>
      <c r="S243" s="1934"/>
      <c r="T243" s="1934"/>
      <c r="U243" s="1934"/>
      <c r="V243" s="1934"/>
      <c r="W243" s="1934"/>
      <c r="X243" s="1934"/>
      <c r="Y243" s="1934"/>
      <c r="Z243" s="1934"/>
      <c r="AA243" s="1934"/>
      <c r="AB243" s="1934"/>
      <c r="AC243" s="1934"/>
      <c r="AD243" s="1934"/>
      <c r="AE243" s="1934"/>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1934" t="s">
        <v>2491</v>
      </c>
      <c r="N244" s="1934"/>
      <c r="O244" s="1934"/>
      <c r="P244" s="1934"/>
      <c r="Q244" s="1934"/>
      <c r="R244" s="1934"/>
      <c r="S244" s="1934"/>
      <c r="T244" s="1934"/>
      <c r="V244" s="59" t="s">
        <v>91</v>
      </c>
      <c r="W244" s="1932" t="s">
        <v>2493</v>
      </c>
      <c r="X244" s="1958"/>
      <c r="Y244" s="57" t="s">
        <v>620</v>
      </c>
      <c r="AC244" s="2223">
        <v>93901</v>
      </c>
      <c r="AD244" s="2223"/>
      <c r="AE244" s="2223"/>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1934" t="s">
        <v>2492</v>
      </c>
      <c r="N245" s="1934"/>
      <c r="O245" s="1934"/>
      <c r="P245" s="1934"/>
      <c r="Q245" s="1934"/>
      <c r="R245" s="1934"/>
      <c r="S245" s="1934"/>
      <c r="T245" s="1934"/>
      <c r="U245" s="1934"/>
      <c r="V245" s="1934"/>
      <c r="W245" s="1934"/>
      <c r="X245" s="1934"/>
      <c r="Y245" s="1934"/>
      <c r="Z245" s="1934"/>
      <c r="AA245" s="1934"/>
      <c r="AB245" s="1934"/>
      <c r="AC245" s="1934"/>
      <c r="AD245" s="1934"/>
      <c r="AE245" s="1934"/>
      <c r="AH245" s="2382">
        <v>1E-4</v>
      </c>
      <c r="AI245" s="2370"/>
      <c r="AJ245" s="2370"/>
      <c r="AK245" s="2370"/>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157">
        <v>8317576251</v>
      </c>
      <c r="N246" s="2157"/>
      <c r="O246" s="2157"/>
      <c r="P246" s="2157"/>
      <c r="Q246" s="2157"/>
      <c r="R246" s="2157"/>
      <c r="S246" s="7" t="s">
        <v>212</v>
      </c>
      <c r="T246" s="7"/>
      <c r="U246" s="1958">
        <v>136</v>
      </c>
      <c r="V246" s="1958"/>
      <c r="W246" s="1958"/>
      <c r="X246" s="7" t="s">
        <v>94</v>
      </c>
      <c r="Z246" s="2157">
        <v>8317578025</v>
      </c>
      <c r="AA246" s="2157"/>
      <c r="AB246" s="2157"/>
      <c r="AC246" s="2157"/>
      <c r="AD246" s="2157"/>
      <c r="AE246" s="2157"/>
      <c r="BB246" s="7" t="s">
        <v>178</v>
      </c>
      <c r="BG246" s="12">
        <v>3</v>
      </c>
      <c r="BH246" s="12" t="s">
        <v>571</v>
      </c>
      <c r="BN246" s="391"/>
      <c r="BO246" s="39"/>
    </row>
    <row r="247" spans="1:72" ht="12.75">
      <c r="A247" s="29"/>
      <c r="B247" s="7"/>
      <c r="C247" s="7"/>
      <c r="D247" s="60" t="s">
        <v>95</v>
      </c>
      <c r="E247" s="7"/>
      <c r="F247" s="7"/>
      <c r="M247" s="2347" t="s">
        <v>2495</v>
      </c>
      <c r="N247" s="2347"/>
      <c r="O247" s="2347"/>
      <c r="P247" s="2347"/>
      <c r="Q247" s="2347"/>
      <c r="R247" s="2347"/>
      <c r="S247" s="2347"/>
      <c r="T247" s="2347"/>
      <c r="U247" s="2347"/>
      <c r="V247" s="2347"/>
      <c r="W247" s="2347"/>
      <c r="X247" s="2347"/>
      <c r="Y247" s="2347"/>
      <c r="Z247" s="2347"/>
      <c r="AA247" s="2347"/>
      <c r="AB247" s="2347"/>
      <c r="AC247" s="2347"/>
      <c r="AD247" s="2347"/>
      <c r="AE247" s="234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162" t="s">
        <v>569</v>
      </c>
      <c r="N248" s="2162"/>
      <c r="O248" s="2162"/>
      <c r="P248" s="2162"/>
      <c r="Q248" s="2162"/>
      <c r="R248" s="2162"/>
      <c r="S248" s="2162"/>
      <c r="T248" s="2162"/>
      <c r="U248" s="388" t="s">
        <v>979</v>
      </c>
      <c r="V248" s="326"/>
      <c r="W248" s="326"/>
      <c r="X248" s="326"/>
      <c r="Y248" s="326"/>
      <c r="Z248" s="326"/>
      <c r="AA248" s="2357"/>
      <c r="AB248" s="2357"/>
      <c r="AC248" s="2357"/>
      <c r="AD248" s="2357"/>
      <c r="AE248" s="2357"/>
      <c r="AF248" s="2357"/>
      <c r="AG248" s="2357"/>
      <c r="AH248" s="2357"/>
      <c r="AI248" s="2357"/>
      <c r="AJ248" s="2357"/>
      <c r="AK248" s="235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355"/>
      <c r="N250" s="2356"/>
      <c r="O250" s="2356"/>
      <c r="P250" s="2356"/>
      <c r="Q250" s="2356"/>
      <c r="R250" s="2356"/>
      <c r="S250" s="2356"/>
      <c r="T250" s="2356"/>
      <c r="U250" s="2356"/>
      <c r="V250" s="2356"/>
      <c r="W250" s="2356"/>
      <c r="X250" s="2356"/>
      <c r="Y250" s="2356"/>
      <c r="Z250" s="2356"/>
      <c r="AA250" s="2356"/>
      <c r="AB250" s="2356"/>
      <c r="AC250" s="2356"/>
      <c r="AD250" s="2356"/>
      <c r="AE250" s="2356"/>
      <c r="AF250" s="2356" t="s">
        <v>318</v>
      </c>
      <c r="AG250" s="2356"/>
      <c r="AH250" s="2356"/>
      <c r="AI250" s="2356"/>
      <c r="AJ250" s="2356"/>
      <c r="AK250" s="2356"/>
      <c r="BN250" s="61"/>
    </row>
    <row r="251" spans="1:72" ht="12.75">
      <c r="A251" s="29"/>
      <c r="B251" s="7"/>
      <c r="C251" s="7"/>
      <c r="D251" s="57" t="s">
        <v>90</v>
      </c>
      <c r="E251" s="57"/>
      <c r="F251" s="57"/>
      <c r="G251" s="57"/>
      <c r="H251" s="57"/>
      <c r="I251" s="57"/>
      <c r="J251" s="57"/>
      <c r="K251" s="57"/>
      <c r="L251" s="7"/>
      <c r="M251" s="2223"/>
      <c r="N251" s="2223"/>
      <c r="O251" s="2223"/>
      <c r="P251" s="2223"/>
      <c r="Q251" s="2223"/>
      <c r="R251" s="2223"/>
      <c r="S251" s="2223"/>
      <c r="T251" s="2223"/>
      <c r="U251" s="2223"/>
      <c r="V251" s="2223"/>
      <c r="W251" s="2223"/>
      <c r="X251" s="2223"/>
      <c r="Y251" s="2223"/>
      <c r="Z251" s="2223"/>
      <c r="AA251" s="2223"/>
      <c r="AB251" s="2223"/>
      <c r="AC251" s="2223"/>
      <c r="AD251" s="2223"/>
      <c r="AE251" s="2223"/>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223"/>
      <c r="N252" s="2223"/>
      <c r="O252" s="2223"/>
      <c r="P252" s="2223"/>
      <c r="Q252" s="2223"/>
      <c r="R252" s="2223"/>
      <c r="S252" s="2223"/>
      <c r="T252" s="2223"/>
      <c r="V252" s="59" t="s">
        <v>91</v>
      </c>
      <c r="W252" s="1958"/>
      <c r="X252" s="1958"/>
      <c r="Y252" s="57" t="s">
        <v>620</v>
      </c>
      <c r="AC252" s="2223"/>
      <c r="AD252" s="2223"/>
      <c r="AE252" s="2223"/>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223"/>
      <c r="N253" s="2223"/>
      <c r="O253" s="2223"/>
      <c r="P253" s="2223"/>
      <c r="Q253" s="2223"/>
      <c r="R253" s="2223"/>
      <c r="S253" s="2223"/>
      <c r="T253" s="2223"/>
      <c r="U253" s="2223"/>
      <c r="V253" s="2223"/>
      <c r="W253" s="2223"/>
      <c r="X253" s="2223"/>
      <c r="Y253" s="2223"/>
      <c r="Z253" s="2223"/>
      <c r="AA253" s="2223"/>
      <c r="AB253" s="2223"/>
      <c r="AC253" s="2223"/>
      <c r="AD253" s="2223"/>
      <c r="AE253" s="2223"/>
      <c r="AF253" s="720"/>
      <c r="AG253" s="720"/>
      <c r="AH253" s="2370"/>
      <c r="AI253" s="2370"/>
      <c r="AJ253" s="2370"/>
      <c r="AK253" s="237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57"/>
      <c r="N254" s="2157"/>
      <c r="O254" s="2157"/>
      <c r="P254" s="2157"/>
      <c r="Q254" s="2157"/>
      <c r="R254" s="2157"/>
      <c r="S254" s="7" t="s">
        <v>212</v>
      </c>
      <c r="T254" s="7"/>
      <c r="U254" s="1958"/>
      <c r="V254" s="1958"/>
      <c r="W254" s="1958"/>
      <c r="X254" s="7" t="s">
        <v>94</v>
      </c>
      <c r="Z254" s="2157"/>
      <c r="AA254" s="2157"/>
      <c r="AB254" s="2157"/>
      <c r="AC254" s="2157"/>
      <c r="AD254" s="2157"/>
      <c r="AE254" s="2157"/>
    </row>
    <row r="255" spans="1:72" ht="12.75">
      <c r="A255" s="29"/>
      <c r="B255" s="7"/>
      <c r="C255" s="7"/>
      <c r="D255" s="60" t="s">
        <v>95</v>
      </c>
      <c r="E255" s="7"/>
      <c r="F255" s="7"/>
      <c r="M255" s="2347"/>
      <c r="N255" s="2347"/>
      <c r="O255" s="2347"/>
      <c r="P255" s="2347"/>
      <c r="Q255" s="2347"/>
      <c r="R255" s="2347"/>
      <c r="S255" s="2347"/>
      <c r="T255" s="2347"/>
      <c r="U255" s="2347"/>
      <c r="V255" s="2347"/>
      <c r="W255" s="2347"/>
      <c r="X255" s="2347"/>
      <c r="Y255" s="2347"/>
      <c r="Z255" s="2347"/>
      <c r="AA255" s="2347"/>
      <c r="AB255" s="2347"/>
      <c r="AC255" s="2347"/>
      <c r="AD255" s="2347"/>
      <c r="AE255" s="234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162" t="s">
        <v>318</v>
      </c>
      <c r="N256" s="2162"/>
      <c r="O256" s="2162"/>
      <c r="P256" s="2162"/>
      <c r="Q256" s="2162"/>
      <c r="R256" s="2162"/>
      <c r="S256" s="2162"/>
      <c r="T256" s="2162"/>
      <c r="U256" s="388" t="s">
        <v>979</v>
      </c>
      <c r="V256" s="326"/>
      <c r="W256" s="326"/>
      <c r="X256" s="326"/>
      <c r="Y256" s="326"/>
      <c r="Z256" s="326"/>
      <c r="AA256" s="2357"/>
      <c r="AB256" s="2357"/>
      <c r="AC256" s="2357"/>
      <c r="AD256" s="2357"/>
      <c r="AE256" s="2357"/>
      <c r="AF256" s="2357"/>
      <c r="AG256" s="2357"/>
      <c r="AH256" s="2357"/>
      <c r="AI256" s="2357"/>
      <c r="AJ256" s="2357"/>
      <c r="AK256" s="235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356"/>
      <c r="N258" s="2356"/>
      <c r="O258" s="2356"/>
      <c r="P258" s="2356"/>
      <c r="Q258" s="2356"/>
      <c r="R258" s="2356"/>
      <c r="S258" s="2356"/>
      <c r="T258" s="2356"/>
      <c r="U258" s="2356"/>
      <c r="V258" s="2356"/>
      <c r="W258" s="2356"/>
      <c r="X258" s="2356"/>
      <c r="Y258" s="2356"/>
      <c r="Z258" s="2356"/>
      <c r="AA258" s="2356"/>
      <c r="AB258" s="2356"/>
      <c r="AC258" s="2356"/>
      <c r="AD258" s="2356"/>
      <c r="AE258" s="2356"/>
      <c r="AF258" s="2356" t="s">
        <v>318</v>
      </c>
      <c r="AG258" s="2356"/>
      <c r="AH258" s="2356"/>
      <c r="AI258" s="2356"/>
      <c r="AJ258" s="2356"/>
      <c r="AK258" s="235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3"/>
      <c r="N259" s="2223"/>
      <c r="O259" s="2223"/>
      <c r="P259" s="2223"/>
      <c r="Q259" s="2223"/>
      <c r="R259" s="2223"/>
      <c r="S259" s="2223"/>
      <c r="T259" s="2223"/>
      <c r="U259" s="2223"/>
      <c r="V259" s="2223"/>
      <c r="W259" s="2223"/>
      <c r="X259" s="2223"/>
      <c r="Y259" s="2223"/>
      <c r="Z259" s="2223"/>
      <c r="AA259" s="2223"/>
      <c r="AB259" s="2223"/>
      <c r="AC259" s="2223"/>
      <c r="AD259" s="2223"/>
      <c r="AE259" s="2223"/>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223"/>
      <c r="N260" s="2223"/>
      <c r="O260" s="2223"/>
      <c r="P260" s="2223"/>
      <c r="Q260" s="2223"/>
      <c r="R260" s="2223"/>
      <c r="S260" s="2223"/>
      <c r="T260" s="2223"/>
      <c r="V260" s="59" t="s">
        <v>91</v>
      </c>
      <c r="W260" s="1958"/>
      <c r="X260" s="1958"/>
      <c r="Y260" s="57" t="s">
        <v>620</v>
      </c>
      <c r="AC260" s="2223"/>
      <c r="AD260" s="2223"/>
      <c r="AE260" s="2223"/>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3"/>
      <c r="N261" s="2223"/>
      <c r="O261" s="2223"/>
      <c r="P261" s="2223"/>
      <c r="Q261" s="2223"/>
      <c r="R261" s="2223"/>
      <c r="S261" s="2223"/>
      <c r="T261" s="2223"/>
      <c r="U261" s="2223"/>
      <c r="V261" s="2223"/>
      <c r="W261" s="2223"/>
      <c r="X261" s="2223"/>
      <c r="Y261" s="2223"/>
      <c r="Z261" s="2223"/>
      <c r="AA261" s="2223"/>
      <c r="AB261" s="2223"/>
      <c r="AC261" s="2223"/>
      <c r="AD261" s="2223"/>
      <c r="AE261" s="2223"/>
      <c r="AF261" s="720"/>
      <c r="AG261" s="720"/>
      <c r="AH261" s="2370"/>
      <c r="AI261" s="2370"/>
      <c r="AJ261" s="2370"/>
      <c r="AK261" s="237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57"/>
      <c r="N262" s="2157"/>
      <c r="O262" s="2157"/>
      <c r="P262" s="2157"/>
      <c r="Q262" s="2157"/>
      <c r="R262" s="2157"/>
      <c r="S262" s="7" t="s">
        <v>212</v>
      </c>
      <c r="T262" s="7"/>
      <c r="U262" s="1958"/>
      <c r="V262" s="1958"/>
      <c r="W262" s="1958"/>
      <c r="X262" s="7" t="s">
        <v>94</v>
      </c>
      <c r="Z262" s="2157"/>
      <c r="AA262" s="2157"/>
      <c r="AB262" s="2157"/>
      <c r="AC262" s="2157"/>
      <c r="AD262" s="2157"/>
      <c r="AE262" s="215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7"/>
      <c r="N263" s="2347"/>
      <c r="O263" s="2347"/>
      <c r="P263" s="2347"/>
      <c r="Q263" s="2347"/>
      <c r="R263" s="2347"/>
      <c r="S263" s="2347"/>
      <c r="T263" s="2347"/>
      <c r="U263" s="2347"/>
      <c r="V263" s="2347"/>
      <c r="W263" s="2347"/>
      <c r="X263" s="2347"/>
      <c r="Y263" s="2347"/>
      <c r="Z263" s="2347"/>
      <c r="AA263" s="2349"/>
      <c r="AB263" s="2349"/>
      <c r="AC263" s="2349"/>
      <c r="AD263" s="2349"/>
      <c r="AE263" s="234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162" t="s">
        <v>318</v>
      </c>
      <c r="N264" s="2162"/>
      <c r="O264" s="2162"/>
      <c r="P264" s="2162"/>
      <c r="Q264" s="2162"/>
      <c r="R264" s="2162"/>
      <c r="S264" s="2162"/>
      <c r="T264" s="2162"/>
      <c r="U264" s="388" t="s">
        <v>979</v>
      </c>
      <c r="V264" s="326"/>
      <c r="W264" s="326"/>
      <c r="X264" s="326"/>
      <c r="Y264" s="326"/>
      <c r="Z264" s="326"/>
      <c r="AA264" s="2350"/>
      <c r="AB264" s="2350"/>
      <c r="AC264" s="2350"/>
      <c r="AD264" s="2350"/>
      <c r="AE264" s="2350"/>
      <c r="AF264" s="2350"/>
      <c r="AG264" s="2350"/>
      <c r="AH264" s="2350"/>
      <c r="AI264" s="2350"/>
      <c r="AJ264" s="2350"/>
      <c r="AK264" s="235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367" t="str">
        <f>BO245</f>
        <v>Nonprofit</v>
      </c>
      <c r="U266" s="2367"/>
      <c r="V266" s="2367"/>
      <c r="W266" s="2367"/>
      <c r="X266" s="2367"/>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23" t="s">
        <v>288</v>
      </c>
      <c r="E269" s="2223"/>
      <c r="F269" s="2223"/>
      <c r="G269" s="2223"/>
      <c r="H269" s="2223"/>
      <c r="J269" s="12" t="s">
        <v>287</v>
      </c>
      <c r="X269" s="2217"/>
      <c r="Y269" s="2217"/>
      <c r="Z269" s="2217"/>
      <c r="AA269" s="2217"/>
      <c r="AB269" s="2217"/>
      <c r="AC269" s="2217"/>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355" t="s">
        <v>2471</v>
      </c>
      <c r="M273" s="2356"/>
      <c r="N273" s="2356"/>
      <c r="O273" s="2356"/>
      <c r="P273" s="2356"/>
      <c r="Q273" s="2356"/>
      <c r="R273" s="2356"/>
      <c r="S273" s="2356"/>
      <c r="T273" s="2356"/>
      <c r="U273" s="2356"/>
      <c r="V273" s="2356"/>
      <c r="W273" s="2356"/>
      <c r="X273" s="2356"/>
      <c r="Y273" s="2356"/>
      <c r="Z273" s="2356"/>
      <c r="AA273" s="2356"/>
      <c r="AB273" s="2356"/>
      <c r="AC273" s="2356"/>
      <c r="AD273" s="2356"/>
      <c r="AE273" s="2356"/>
      <c r="AF273" s="2356"/>
      <c r="AG273" s="2356"/>
      <c r="AH273" s="2356"/>
      <c r="AI273" s="2356"/>
      <c r="AJ273" s="235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1934" t="s">
        <v>2490</v>
      </c>
      <c r="M274" s="1934"/>
      <c r="N274" s="1934"/>
      <c r="O274" s="1934"/>
      <c r="P274" s="1934"/>
      <c r="Q274" s="1934"/>
      <c r="R274" s="1934"/>
      <c r="S274" s="1934"/>
      <c r="T274" s="1934"/>
      <c r="U274" s="1934"/>
      <c r="V274" s="1934"/>
      <c r="W274" s="1934"/>
      <c r="X274" s="1934"/>
      <c r="Y274" s="1934"/>
      <c r="Z274" s="1934"/>
      <c r="AA274" s="1934"/>
      <c r="AB274" s="1934"/>
      <c r="AC274" s="1934"/>
      <c r="AD274" s="1934"/>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1934" t="s">
        <v>2491</v>
      </c>
      <c r="M275" s="1934"/>
      <c r="N275" s="1934"/>
      <c r="O275" s="1934"/>
      <c r="P275" s="1934"/>
      <c r="Q275" s="1934"/>
      <c r="R275" s="1934"/>
      <c r="S275" s="1934"/>
      <c r="U275" s="59" t="s">
        <v>91</v>
      </c>
      <c r="V275" s="1932" t="s">
        <v>2493</v>
      </c>
      <c r="W275" s="1958"/>
      <c r="X275" s="57" t="s">
        <v>620</v>
      </c>
      <c r="AB275" s="2223">
        <v>93901</v>
      </c>
      <c r="AC275" s="2223"/>
      <c r="AD275" s="222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34" t="s">
        <v>2498</v>
      </c>
      <c r="M276" s="1934"/>
      <c r="N276" s="1934"/>
      <c r="O276" s="1934"/>
      <c r="P276" s="1934"/>
      <c r="Q276" s="1934"/>
      <c r="R276" s="1934"/>
      <c r="S276" s="1934"/>
      <c r="T276" s="1934"/>
      <c r="U276" s="1934"/>
      <c r="V276" s="1934"/>
      <c r="W276" s="1934"/>
      <c r="X276" s="1934"/>
      <c r="Y276" s="1934"/>
      <c r="Z276" s="1934"/>
      <c r="AA276" s="1934"/>
      <c r="AB276" s="1934"/>
      <c r="AC276" s="1934"/>
      <c r="AD276" s="193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57">
        <v>8316828016</v>
      </c>
      <c r="M277" s="2157"/>
      <c r="N277" s="2157"/>
      <c r="O277" s="2157"/>
      <c r="P277" s="2157"/>
      <c r="Q277" s="2157"/>
      <c r="R277" s="7" t="s">
        <v>212</v>
      </c>
      <c r="S277" s="7"/>
      <c r="T277" s="1958"/>
      <c r="U277" s="1958"/>
      <c r="V277" s="1958"/>
      <c r="W277" s="7" t="s">
        <v>94</v>
      </c>
      <c r="Y277" s="2157"/>
      <c r="Z277" s="2157"/>
      <c r="AA277" s="2157"/>
      <c r="AB277" s="2157"/>
      <c r="AC277" s="2157"/>
      <c r="AD277" s="2157"/>
      <c r="BN277" s="61"/>
    </row>
    <row r="278" spans="1:66" ht="12.75">
      <c r="D278" s="60" t="s">
        <v>95</v>
      </c>
      <c r="E278" s="7"/>
      <c r="F278" s="7"/>
      <c r="L278" s="2347" t="s">
        <v>2499</v>
      </c>
      <c r="M278" s="2347"/>
      <c r="N278" s="2347"/>
      <c r="O278" s="2347"/>
      <c r="P278" s="2347"/>
      <c r="Q278" s="2347"/>
      <c r="R278" s="2347"/>
      <c r="S278" s="2347"/>
      <c r="T278" s="2347"/>
      <c r="U278" s="2347"/>
      <c r="V278" s="2347"/>
      <c r="W278" s="2347"/>
      <c r="X278" s="2347"/>
      <c r="Y278" s="2347"/>
      <c r="Z278" s="2347"/>
      <c r="AA278" s="2347"/>
      <c r="AB278" s="2347"/>
      <c r="AC278" s="2347"/>
      <c r="AD278" s="2347"/>
      <c r="AF278" s="7"/>
      <c r="AG278" s="7"/>
      <c r="AH278" s="7"/>
      <c r="AI278" s="7"/>
      <c r="AJ278" s="7"/>
      <c r="BN278" s="61"/>
    </row>
    <row r="279" spans="1:66" ht="12.75">
      <c r="D279" s="58" t="s">
        <v>660</v>
      </c>
      <c r="E279" s="58"/>
      <c r="F279" s="58"/>
      <c r="G279" s="58"/>
      <c r="H279" s="58"/>
      <c r="I279" s="58"/>
      <c r="L279" s="1932" t="s">
        <v>2576</v>
      </c>
      <c r="M279" s="1932"/>
      <c r="N279" s="1932"/>
      <c r="O279" s="1932"/>
      <c r="P279" s="1932"/>
      <c r="Q279" s="1932"/>
      <c r="R279" s="1932"/>
      <c r="S279" s="1932"/>
      <c r="T279" s="1932"/>
      <c r="U279" s="1932"/>
      <c r="V279" s="1932"/>
      <c r="W279" s="1932"/>
      <c r="X279" s="1932"/>
      <c r="Y279" s="1932"/>
      <c r="Z279" s="1932"/>
      <c r="AA279" s="1932"/>
      <c r="AB279" s="1932"/>
      <c r="AC279" s="1932"/>
      <c r="AD279" s="1932"/>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293" t="s">
        <v>576</v>
      </c>
      <c r="B281" s="2293"/>
      <c r="C281" s="2293"/>
      <c r="D281" s="2293"/>
      <c r="E281" s="2293"/>
      <c r="F281" s="2293"/>
      <c r="G281" s="2293"/>
      <c r="H281" s="2293"/>
      <c r="I281" s="2293"/>
      <c r="J281" s="2293"/>
      <c r="K281" s="2293"/>
      <c r="L281" s="2293"/>
      <c r="M281" s="2293"/>
      <c r="N281" s="2293"/>
      <c r="O281" s="2293"/>
      <c r="P281" s="2293"/>
      <c r="Q281" s="2293"/>
      <c r="R281" s="2293"/>
      <c r="S281" s="2293"/>
      <c r="T281" s="2293"/>
      <c r="U281" s="2293"/>
      <c r="V281" s="2293"/>
      <c r="W281" s="2293"/>
      <c r="X281" s="2293"/>
      <c r="Y281" s="2293"/>
      <c r="Z281" s="2293"/>
      <c r="AA281" s="2293"/>
      <c r="AB281" s="2293"/>
      <c r="AC281" s="2293"/>
      <c r="AD281" s="2293"/>
      <c r="AE281" s="2293"/>
      <c r="AF281" s="2293"/>
      <c r="AG281" s="2293"/>
      <c r="AH281" s="2293"/>
      <c r="AI281" s="2293"/>
      <c r="AJ281" s="2293"/>
      <c r="AK281" s="2293"/>
      <c r="AL281" s="2293"/>
      <c r="AM281" s="144"/>
      <c r="AN281" s="144"/>
      <c r="AO281" s="144"/>
      <c r="AP281" s="144"/>
      <c r="AQ281" s="144"/>
      <c r="AR281" s="144"/>
      <c r="AS281" s="144"/>
      <c r="AT281" s="144"/>
      <c r="AU281" s="144"/>
      <c r="AV281" s="144"/>
      <c r="AW281" s="144"/>
      <c r="AX281" s="144"/>
      <c r="AY281" s="144"/>
      <c r="BN281" s="61"/>
    </row>
    <row r="282" spans="1:66" ht="13.5" thickBot="1">
      <c r="A282" s="2294"/>
      <c r="B282" s="2294"/>
      <c r="C282" s="2294"/>
      <c r="D282" s="2294"/>
      <c r="E282" s="2294"/>
      <c r="F282" s="2294"/>
      <c r="G282" s="2294"/>
      <c r="H282" s="2294"/>
      <c r="I282" s="2294"/>
      <c r="J282" s="2294"/>
      <c r="K282" s="2294"/>
      <c r="L282" s="2294"/>
      <c r="M282" s="2294"/>
      <c r="N282" s="2294"/>
      <c r="O282" s="2294"/>
      <c r="P282" s="2294"/>
      <c r="Q282" s="2294"/>
      <c r="R282" s="2294"/>
      <c r="S282" s="2294"/>
      <c r="T282" s="2294"/>
      <c r="U282" s="2294"/>
      <c r="V282" s="2294"/>
      <c r="W282" s="2294"/>
      <c r="X282" s="2294"/>
      <c r="Y282" s="2294"/>
      <c r="Z282" s="2294"/>
      <c r="AA282" s="2294"/>
      <c r="AB282" s="2294"/>
      <c r="AC282" s="2294"/>
      <c r="AD282" s="2294"/>
      <c r="AE282" s="2294"/>
      <c r="AF282" s="2294"/>
      <c r="AG282" s="2294"/>
      <c r="AH282" s="2294"/>
      <c r="AI282" s="2294"/>
      <c r="AJ282" s="2294"/>
      <c r="AK282" s="2294"/>
      <c r="AL282" s="229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1935" t="s">
        <v>2494</v>
      </c>
      <c r="I286" s="1935"/>
      <c r="J286" s="1935"/>
      <c r="K286" s="1935"/>
      <c r="L286" s="1935"/>
      <c r="M286" s="1935"/>
      <c r="N286" s="1935"/>
      <c r="O286" s="1935"/>
      <c r="P286" s="1935"/>
      <c r="Q286" s="1935"/>
      <c r="R286" s="1935"/>
      <c r="T286" s="58" t="s">
        <v>602</v>
      </c>
      <c r="V286" s="58"/>
      <c r="W286" s="58"/>
      <c r="X286" s="58"/>
      <c r="Y286" s="58"/>
      <c r="AA286" s="1935" t="s">
        <v>2503</v>
      </c>
      <c r="AB286" s="1935"/>
      <c r="AC286" s="1935"/>
      <c r="AD286" s="1935"/>
      <c r="AE286" s="1935"/>
      <c r="AF286" s="1935"/>
      <c r="AG286" s="1935"/>
      <c r="AH286" s="1935"/>
      <c r="AI286" s="1935"/>
      <c r="AJ286" s="1935"/>
      <c r="AK286" s="1935"/>
      <c r="BN286" s="61"/>
    </row>
    <row r="287" spans="1:66" ht="12.75">
      <c r="B287" s="58" t="s">
        <v>506</v>
      </c>
      <c r="C287" s="58"/>
      <c r="D287" s="58"/>
      <c r="E287" s="58"/>
      <c r="F287" s="58"/>
      <c r="H287" s="2162" t="s">
        <v>2500</v>
      </c>
      <c r="I287" s="2162"/>
      <c r="J287" s="2162"/>
      <c r="K287" s="2162"/>
      <c r="L287" s="2162"/>
      <c r="M287" s="2162"/>
      <c r="N287" s="2162"/>
      <c r="O287" s="2162"/>
      <c r="P287" s="2162"/>
      <c r="Q287" s="2162"/>
      <c r="R287" s="2162"/>
      <c r="T287" s="58" t="s">
        <v>506</v>
      </c>
      <c r="V287" s="58"/>
      <c r="W287" s="58"/>
      <c r="X287" s="58"/>
      <c r="Y287" s="58"/>
      <c r="AA287" s="2162" t="s">
        <v>2504</v>
      </c>
      <c r="AB287" s="2162"/>
      <c r="AC287" s="2162"/>
      <c r="AD287" s="2162"/>
      <c r="AE287" s="2162"/>
      <c r="AF287" s="2162"/>
      <c r="AG287" s="2162"/>
      <c r="AH287" s="2162"/>
      <c r="AI287" s="2162"/>
      <c r="AJ287" s="2162"/>
      <c r="AK287" s="2162"/>
      <c r="BN287" s="61"/>
    </row>
    <row r="288" spans="1:66" ht="12.75">
      <c r="B288" s="58" t="s">
        <v>507</v>
      </c>
      <c r="C288" s="58"/>
      <c r="D288" s="58"/>
      <c r="E288" s="58"/>
      <c r="F288" s="58"/>
      <c r="H288" s="2162" t="s">
        <v>2501</v>
      </c>
      <c r="I288" s="2162"/>
      <c r="J288" s="2162"/>
      <c r="K288" s="2162"/>
      <c r="L288" s="2162"/>
      <c r="M288" s="2162"/>
      <c r="N288" s="2162"/>
      <c r="O288" s="2162"/>
      <c r="P288" s="2162"/>
      <c r="Q288" s="2162"/>
      <c r="R288" s="2162"/>
      <c r="T288" s="58" t="s">
        <v>79</v>
      </c>
      <c r="V288" s="58"/>
      <c r="W288" s="58"/>
      <c r="X288" s="58"/>
      <c r="Y288" s="58"/>
      <c r="AA288" s="2162" t="s">
        <v>2505</v>
      </c>
      <c r="AB288" s="2162"/>
      <c r="AC288" s="2162"/>
      <c r="AD288" s="2162"/>
      <c r="AE288" s="2162"/>
      <c r="AF288" s="2162"/>
      <c r="AG288" s="2162"/>
      <c r="AH288" s="2162"/>
      <c r="AI288" s="2162"/>
      <c r="AJ288" s="2162"/>
      <c r="AK288" s="2162"/>
      <c r="BN288" s="61"/>
    </row>
    <row r="289" spans="2:66" ht="12.75" customHeight="1">
      <c r="B289" s="58" t="s">
        <v>92</v>
      </c>
      <c r="C289" s="58"/>
      <c r="D289" s="58"/>
      <c r="E289" s="58"/>
      <c r="F289" s="58"/>
      <c r="H289" s="2162" t="s">
        <v>2492</v>
      </c>
      <c r="I289" s="2162"/>
      <c r="J289" s="2162"/>
      <c r="K289" s="2162"/>
      <c r="L289" s="2162"/>
      <c r="M289" s="2162"/>
      <c r="N289" s="2162"/>
      <c r="O289" s="2162"/>
      <c r="P289" s="2162"/>
      <c r="Q289" s="2162"/>
      <c r="R289" s="2162"/>
      <c r="T289" s="58" t="s">
        <v>92</v>
      </c>
      <c r="V289" s="58"/>
      <c r="W289" s="58"/>
      <c r="X289" s="58"/>
      <c r="Y289" s="58"/>
      <c r="AA289" s="2162" t="s">
        <v>2506</v>
      </c>
      <c r="AB289" s="2162"/>
      <c r="AC289" s="2162"/>
      <c r="AD289" s="2162"/>
      <c r="AE289" s="2162"/>
      <c r="AF289" s="2162"/>
      <c r="AG289" s="2162"/>
      <c r="AH289" s="2162"/>
      <c r="AI289" s="2162"/>
      <c r="AJ289" s="2162"/>
      <c r="AK289" s="2162"/>
      <c r="BN289" s="61"/>
    </row>
    <row r="290" spans="2:66" ht="12.75" customHeight="1">
      <c r="B290" s="58" t="s">
        <v>93</v>
      </c>
      <c r="C290" s="58"/>
      <c r="D290" s="58"/>
      <c r="E290" s="58"/>
      <c r="F290" s="58"/>
      <c r="G290" s="58"/>
      <c r="H290" s="2222">
        <v>8317576251</v>
      </c>
      <c r="I290" s="2222"/>
      <c r="J290" s="2222"/>
      <c r="K290" s="2222"/>
      <c r="L290" s="2222"/>
      <c r="M290" s="2222"/>
      <c r="N290" s="7" t="s">
        <v>212</v>
      </c>
      <c r="O290" s="7"/>
      <c r="P290" s="2223">
        <v>136</v>
      </c>
      <c r="Q290" s="2223"/>
      <c r="R290" s="2223"/>
      <c r="S290" s="58"/>
      <c r="T290" s="58" t="s">
        <v>93</v>
      </c>
      <c r="V290" s="58"/>
      <c r="W290" s="58"/>
      <c r="X290" s="58"/>
      <c r="Y290" s="58"/>
      <c r="AA290" s="2222">
        <v>8313732784</v>
      </c>
      <c r="AB290" s="2222"/>
      <c r="AC290" s="2222"/>
      <c r="AD290" s="2222"/>
      <c r="AE290" s="2222"/>
      <c r="AF290" s="2222"/>
      <c r="AG290" s="7" t="s">
        <v>212</v>
      </c>
      <c r="AH290" s="7"/>
      <c r="AI290" s="2223">
        <v>206</v>
      </c>
      <c r="AJ290" s="2223"/>
      <c r="AK290" s="2223"/>
      <c r="BN290" s="61"/>
    </row>
    <row r="291" spans="2:66" ht="12.75" customHeight="1">
      <c r="B291" s="58" t="s">
        <v>94</v>
      </c>
      <c r="C291" s="58"/>
      <c r="D291" s="58"/>
      <c r="E291" s="58"/>
      <c r="F291" s="58"/>
      <c r="G291" s="58"/>
      <c r="H291" s="2226">
        <v>8317576268</v>
      </c>
      <c r="I291" s="2226"/>
      <c r="J291" s="2226"/>
      <c r="K291" s="2226"/>
      <c r="L291" s="2226"/>
      <c r="M291" s="2226"/>
      <c r="N291" s="60"/>
      <c r="O291" s="60"/>
      <c r="P291" s="62"/>
      <c r="Q291" s="62"/>
      <c r="R291" s="62"/>
      <c r="S291" s="58"/>
      <c r="T291" s="58" t="s">
        <v>94</v>
      </c>
      <c r="V291" s="58"/>
      <c r="W291" s="58"/>
      <c r="X291" s="58"/>
      <c r="Y291" s="58"/>
      <c r="AA291" s="2226">
        <v>8313737459</v>
      </c>
      <c r="AB291" s="2226"/>
      <c r="AC291" s="2226"/>
      <c r="AD291" s="2226"/>
      <c r="AE291" s="2226"/>
      <c r="AF291" s="2226"/>
      <c r="AG291" s="60"/>
      <c r="AH291" s="60"/>
      <c r="AI291" s="62"/>
      <c r="AJ291" s="62"/>
      <c r="AK291" s="62"/>
      <c r="BN291" s="61"/>
    </row>
    <row r="292" spans="2:66" ht="12.75" customHeight="1">
      <c r="B292" s="58" t="s">
        <v>80</v>
      </c>
      <c r="C292" s="58"/>
      <c r="D292" s="58"/>
      <c r="E292" s="58"/>
      <c r="F292" s="58"/>
      <c r="G292" s="58"/>
      <c r="H292" s="1932" t="s">
        <v>2495</v>
      </c>
      <c r="I292" s="2162"/>
      <c r="J292" s="2162"/>
      <c r="K292" s="2162"/>
      <c r="L292" s="2162"/>
      <c r="M292" s="2162"/>
      <c r="N292" s="1935"/>
      <c r="O292" s="1935"/>
      <c r="P292" s="1935"/>
      <c r="Q292" s="1935"/>
      <c r="R292" s="1935"/>
      <c r="S292" s="58"/>
      <c r="T292" s="58" t="s">
        <v>80</v>
      </c>
      <c r="V292" s="58"/>
      <c r="W292" s="58"/>
      <c r="X292" s="58"/>
      <c r="Y292" s="58"/>
      <c r="AA292" s="2162" t="s">
        <v>2502</v>
      </c>
      <c r="AB292" s="2162"/>
      <c r="AC292" s="2162"/>
      <c r="AD292" s="2162"/>
      <c r="AE292" s="2162"/>
      <c r="AF292" s="2162"/>
      <c r="AG292" s="1935"/>
      <c r="AH292" s="1935"/>
      <c r="AI292" s="1935"/>
      <c r="AJ292" s="1935"/>
      <c r="AK292" s="193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1934" t="s">
        <v>2507</v>
      </c>
      <c r="I294" s="1935"/>
      <c r="J294" s="1935"/>
      <c r="K294" s="1935"/>
      <c r="L294" s="1935"/>
      <c r="M294" s="1935"/>
      <c r="N294" s="1935"/>
      <c r="O294" s="1935"/>
      <c r="P294" s="1935"/>
      <c r="Q294" s="1935"/>
      <c r="R294" s="1935"/>
      <c r="T294" s="58" t="s">
        <v>376</v>
      </c>
      <c r="V294" s="58"/>
      <c r="W294" s="58"/>
      <c r="X294" s="58"/>
      <c r="Y294" s="58"/>
      <c r="AA294" s="1935" t="s">
        <v>2526</v>
      </c>
      <c r="AB294" s="1935"/>
      <c r="AC294" s="1935"/>
      <c r="AD294" s="1935"/>
      <c r="AE294" s="1935"/>
      <c r="AF294" s="1935"/>
      <c r="AG294" s="1935"/>
      <c r="AH294" s="1935"/>
      <c r="AI294" s="1935"/>
      <c r="AJ294" s="1935"/>
      <c r="AK294" s="1935"/>
      <c r="BN294" s="61"/>
    </row>
    <row r="295" spans="2:66" ht="12.75">
      <c r="B295" s="58" t="s">
        <v>506</v>
      </c>
      <c r="C295" s="58"/>
      <c r="D295" s="58"/>
      <c r="E295" s="58"/>
      <c r="F295" s="58"/>
      <c r="H295" s="2162" t="s">
        <v>2508</v>
      </c>
      <c r="I295" s="2162"/>
      <c r="J295" s="2162"/>
      <c r="K295" s="2162"/>
      <c r="L295" s="2162"/>
      <c r="M295" s="2162"/>
      <c r="N295" s="2162"/>
      <c r="O295" s="2162"/>
      <c r="P295" s="2162"/>
      <c r="Q295" s="2162"/>
      <c r="R295" s="2162"/>
      <c r="T295" s="58" t="s">
        <v>506</v>
      </c>
      <c r="V295" s="58"/>
      <c r="W295" s="58"/>
      <c r="X295" s="58"/>
      <c r="Y295" s="58"/>
      <c r="AA295" s="2162"/>
      <c r="AB295" s="2162"/>
      <c r="AC295" s="2162"/>
      <c r="AD295" s="2162"/>
      <c r="AE295" s="2162"/>
      <c r="AF295" s="2162"/>
      <c r="AG295" s="2162"/>
      <c r="AH295" s="2162"/>
      <c r="AI295" s="2162"/>
      <c r="AJ295" s="2162"/>
      <c r="AK295" s="2162"/>
      <c r="BN295" s="61"/>
    </row>
    <row r="296" spans="2:66" ht="12.75">
      <c r="B296" s="58" t="s">
        <v>507</v>
      </c>
      <c r="C296" s="58"/>
      <c r="D296" s="58"/>
      <c r="E296" s="58"/>
      <c r="F296" s="58"/>
      <c r="H296" s="2162" t="s">
        <v>2509</v>
      </c>
      <c r="I296" s="2162"/>
      <c r="J296" s="2162"/>
      <c r="K296" s="2162"/>
      <c r="L296" s="2162"/>
      <c r="M296" s="2162"/>
      <c r="N296" s="2162"/>
      <c r="O296" s="2162"/>
      <c r="P296" s="2162"/>
      <c r="Q296" s="2162"/>
      <c r="R296" s="2162"/>
      <c r="T296" s="58" t="s">
        <v>79</v>
      </c>
      <c r="V296" s="58"/>
      <c r="W296" s="58"/>
      <c r="X296" s="58"/>
      <c r="Y296" s="58"/>
      <c r="AA296" s="2162"/>
      <c r="AB296" s="2162"/>
      <c r="AC296" s="2162"/>
      <c r="AD296" s="2162"/>
      <c r="AE296" s="2162"/>
      <c r="AF296" s="2162"/>
      <c r="AG296" s="2162"/>
      <c r="AH296" s="2162"/>
      <c r="AI296" s="2162"/>
      <c r="AJ296" s="2162"/>
      <c r="AK296" s="2162"/>
      <c r="BN296" s="61"/>
    </row>
    <row r="297" spans="2:66" ht="12.75">
      <c r="B297" s="58" t="s">
        <v>92</v>
      </c>
      <c r="C297" s="58"/>
      <c r="D297" s="58"/>
      <c r="E297" s="58"/>
      <c r="F297" s="58"/>
      <c r="H297" s="2162" t="s">
        <v>2510</v>
      </c>
      <c r="I297" s="2162"/>
      <c r="J297" s="2162"/>
      <c r="K297" s="2162"/>
      <c r="L297" s="2162"/>
      <c r="M297" s="2162"/>
      <c r="N297" s="2162"/>
      <c r="O297" s="2162"/>
      <c r="P297" s="2162"/>
      <c r="Q297" s="2162"/>
      <c r="R297" s="2162"/>
      <c r="T297" s="58" t="s">
        <v>92</v>
      </c>
      <c r="V297" s="58"/>
      <c r="W297" s="58"/>
      <c r="X297" s="58"/>
      <c r="Y297" s="58"/>
      <c r="AA297" s="2162"/>
      <c r="AB297" s="2162"/>
      <c r="AC297" s="2162"/>
      <c r="AD297" s="2162"/>
      <c r="AE297" s="2162"/>
      <c r="AF297" s="2162"/>
      <c r="AG297" s="2162"/>
      <c r="AH297" s="2162"/>
      <c r="AI297" s="2162"/>
      <c r="AJ297" s="2162"/>
      <c r="AK297" s="2162"/>
      <c r="BN297" s="61"/>
    </row>
    <row r="298" spans="2:66" ht="12.75">
      <c r="B298" s="58" t="s">
        <v>93</v>
      </c>
      <c r="C298" s="58"/>
      <c r="D298" s="58"/>
      <c r="E298" s="58"/>
      <c r="F298" s="58"/>
      <c r="G298" s="58"/>
      <c r="H298" s="2222">
        <v>4157816600</v>
      </c>
      <c r="I298" s="2222"/>
      <c r="J298" s="2222"/>
      <c r="K298" s="2222"/>
      <c r="L298" s="2222"/>
      <c r="M298" s="2222"/>
      <c r="N298" s="7" t="s">
        <v>212</v>
      </c>
      <c r="O298" s="7"/>
      <c r="P298" s="2223">
        <v>2</v>
      </c>
      <c r="Q298" s="2223"/>
      <c r="R298" s="2223"/>
      <c r="S298" s="58"/>
      <c r="T298" s="58" t="s">
        <v>93</v>
      </c>
      <c r="V298" s="58"/>
      <c r="W298" s="58"/>
      <c r="X298" s="58"/>
      <c r="Y298" s="58"/>
      <c r="AA298" s="2345"/>
      <c r="AB298" s="2345"/>
      <c r="AC298" s="2345"/>
      <c r="AD298" s="2345"/>
      <c r="AE298" s="2345"/>
      <c r="AF298" s="2345"/>
      <c r="AG298" s="7" t="s">
        <v>212</v>
      </c>
      <c r="AH298" s="7"/>
      <c r="AI298" s="2223"/>
      <c r="AJ298" s="2223"/>
      <c r="AK298" s="2223"/>
      <c r="BN298" s="61"/>
    </row>
    <row r="299" spans="2:66" ht="12.75" customHeight="1">
      <c r="B299" s="58" t="s">
        <v>94</v>
      </c>
      <c r="C299" s="58"/>
      <c r="D299" s="58"/>
      <c r="E299" s="58"/>
      <c r="F299" s="58"/>
      <c r="G299" s="58"/>
      <c r="H299" s="2226">
        <v>4157816967</v>
      </c>
      <c r="I299" s="2226"/>
      <c r="J299" s="2226"/>
      <c r="K299" s="2226"/>
      <c r="L299" s="2226"/>
      <c r="M299" s="2226"/>
      <c r="N299" s="60"/>
      <c r="O299" s="60"/>
      <c r="P299" s="62"/>
      <c r="Q299" s="62"/>
      <c r="R299" s="62"/>
      <c r="S299" s="58"/>
      <c r="T299" s="58" t="s">
        <v>94</v>
      </c>
      <c r="V299" s="58"/>
      <c r="W299" s="58"/>
      <c r="X299" s="58"/>
      <c r="Y299" s="58"/>
      <c r="AA299" s="2157"/>
      <c r="AB299" s="2157"/>
      <c r="AC299" s="2157"/>
      <c r="AD299" s="2157"/>
      <c r="AE299" s="2157"/>
      <c r="AF299" s="2157"/>
      <c r="AG299" s="60"/>
      <c r="AH299" s="60"/>
      <c r="AI299" s="62"/>
      <c r="AJ299" s="62"/>
      <c r="AK299" s="62"/>
      <c r="BN299" s="61"/>
    </row>
    <row r="300" spans="2:66" ht="12.75" customHeight="1">
      <c r="B300" s="58" t="s">
        <v>80</v>
      </c>
      <c r="C300" s="58"/>
      <c r="D300" s="58"/>
      <c r="E300" s="58"/>
      <c r="F300" s="58"/>
      <c r="G300" s="58"/>
      <c r="H300" s="2162" t="s">
        <v>2511</v>
      </c>
      <c r="I300" s="2162"/>
      <c r="J300" s="2162"/>
      <c r="K300" s="2162"/>
      <c r="L300" s="2162"/>
      <c r="M300" s="2162"/>
      <c r="N300" s="1935"/>
      <c r="O300" s="1935"/>
      <c r="P300" s="1935"/>
      <c r="Q300" s="1935"/>
      <c r="R300" s="1935"/>
      <c r="S300" s="58"/>
      <c r="T300" s="58" t="s">
        <v>80</v>
      </c>
      <c r="V300" s="58"/>
      <c r="W300" s="58"/>
      <c r="X300" s="58"/>
      <c r="Y300" s="58"/>
      <c r="AA300" s="2162"/>
      <c r="AB300" s="2162"/>
      <c r="AC300" s="2162"/>
      <c r="AD300" s="2162"/>
      <c r="AE300" s="2162"/>
      <c r="AF300" s="2162"/>
      <c r="AG300" s="1935"/>
      <c r="AH300" s="1935"/>
      <c r="AI300" s="1935"/>
      <c r="AJ300" s="1935"/>
      <c r="AK300" s="1935"/>
      <c r="BN300" s="61"/>
    </row>
    <row r="301" spans="2:66" ht="12.75" customHeight="1">
      <c r="BN301" s="61"/>
    </row>
    <row r="302" spans="2:66" ht="12.75" customHeight="1">
      <c r="B302" s="58" t="s">
        <v>81</v>
      </c>
      <c r="C302" s="58"/>
      <c r="D302" s="58"/>
      <c r="E302" s="58"/>
      <c r="F302" s="58"/>
      <c r="H302" s="1935" t="s">
        <v>2512</v>
      </c>
      <c r="I302" s="1935"/>
      <c r="J302" s="1935"/>
      <c r="K302" s="1935"/>
      <c r="L302" s="1935"/>
      <c r="M302" s="1935"/>
      <c r="N302" s="1935"/>
      <c r="O302" s="1935"/>
      <c r="P302" s="1935"/>
      <c r="Q302" s="1935"/>
      <c r="R302" s="1935"/>
      <c r="T302" s="7" t="s">
        <v>947</v>
      </c>
      <c r="V302" s="58"/>
      <c r="W302" s="58"/>
      <c r="X302" s="58"/>
      <c r="Y302" s="58"/>
      <c r="AA302" s="1935" t="s">
        <v>2597</v>
      </c>
      <c r="AB302" s="1935"/>
      <c r="AC302" s="1935"/>
      <c r="AD302" s="1935"/>
      <c r="AE302" s="1935"/>
      <c r="AF302" s="1935"/>
      <c r="AG302" s="1935"/>
      <c r="AH302" s="1935"/>
      <c r="AI302" s="1935"/>
      <c r="AJ302" s="1935"/>
      <c r="AK302" s="1935"/>
      <c r="BN302" s="61"/>
    </row>
    <row r="303" spans="2:66" ht="12.75">
      <c r="B303" s="58" t="s">
        <v>506</v>
      </c>
      <c r="C303" s="58"/>
      <c r="D303" s="58"/>
      <c r="E303" s="58"/>
      <c r="F303" s="58"/>
      <c r="H303" s="2162" t="s">
        <v>2513</v>
      </c>
      <c r="I303" s="2162"/>
      <c r="J303" s="2162"/>
      <c r="K303" s="2162"/>
      <c r="L303" s="2162"/>
      <c r="M303" s="2162"/>
      <c r="N303" s="2162"/>
      <c r="O303" s="2162"/>
      <c r="P303" s="2162"/>
      <c r="Q303" s="2162"/>
      <c r="R303" s="2162"/>
      <c r="T303" s="58" t="s">
        <v>506</v>
      </c>
      <c r="V303" s="58"/>
      <c r="W303" s="58"/>
      <c r="X303" s="58"/>
      <c r="Y303" s="58"/>
      <c r="AA303" s="2162" t="s">
        <v>2598</v>
      </c>
      <c r="AB303" s="2162"/>
      <c r="AC303" s="2162"/>
      <c r="AD303" s="2162"/>
      <c r="AE303" s="2162"/>
      <c r="AF303" s="2162"/>
      <c r="AG303" s="2162"/>
      <c r="AH303" s="2162"/>
      <c r="AI303" s="2162"/>
      <c r="AJ303" s="2162"/>
      <c r="AK303" s="2162"/>
      <c r="BN303" s="61"/>
    </row>
    <row r="304" spans="2:66" ht="12.75">
      <c r="B304" s="58" t="s">
        <v>507</v>
      </c>
      <c r="C304" s="58"/>
      <c r="D304" s="58"/>
      <c r="E304" s="58"/>
      <c r="F304" s="58"/>
      <c r="H304" s="2162" t="s">
        <v>2514</v>
      </c>
      <c r="I304" s="2162"/>
      <c r="J304" s="2162"/>
      <c r="K304" s="2162"/>
      <c r="L304" s="2162"/>
      <c r="M304" s="2162"/>
      <c r="N304" s="2162"/>
      <c r="O304" s="2162"/>
      <c r="P304" s="2162"/>
      <c r="Q304" s="2162"/>
      <c r="R304" s="2162"/>
      <c r="T304" s="58" t="s">
        <v>79</v>
      </c>
      <c r="V304" s="58"/>
      <c r="W304" s="58"/>
      <c r="X304" s="58"/>
      <c r="Y304" s="58"/>
      <c r="AA304" s="2162" t="s">
        <v>2599</v>
      </c>
      <c r="AB304" s="2162"/>
      <c r="AC304" s="2162"/>
      <c r="AD304" s="2162"/>
      <c r="AE304" s="2162"/>
      <c r="AF304" s="2162"/>
      <c r="AG304" s="2162"/>
      <c r="AH304" s="2162"/>
      <c r="AI304" s="2162"/>
      <c r="AJ304" s="2162"/>
      <c r="AK304" s="2162"/>
      <c r="BN304" s="61"/>
    </row>
    <row r="305" spans="2:66" ht="12.75">
      <c r="B305" s="58" t="s">
        <v>92</v>
      </c>
      <c r="C305" s="58"/>
      <c r="D305" s="58"/>
      <c r="E305" s="58"/>
      <c r="F305" s="58"/>
      <c r="H305" s="2162" t="s">
        <v>2515</v>
      </c>
      <c r="I305" s="2162"/>
      <c r="J305" s="2162"/>
      <c r="K305" s="2162"/>
      <c r="L305" s="2162"/>
      <c r="M305" s="2162"/>
      <c r="N305" s="2162"/>
      <c r="O305" s="2162"/>
      <c r="P305" s="2162"/>
      <c r="Q305" s="2162"/>
      <c r="R305" s="2162"/>
      <c r="T305" s="58" t="s">
        <v>92</v>
      </c>
      <c r="V305" s="58"/>
      <c r="W305" s="58"/>
      <c r="X305" s="58"/>
      <c r="Y305" s="58"/>
      <c r="AA305" s="2162" t="s">
        <v>2600</v>
      </c>
      <c r="AB305" s="2162"/>
      <c r="AC305" s="2162"/>
      <c r="AD305" s="2162"/>
      <c r="AE305" s="2162"/>
      <c r="AF305" s="2162"/>
      <c r="AG305" s="2162"/>
      <c r="AH305" s="2162"/>
      <c r="AI305" s="2162"/>
      <c r="AJ305" s="2162"/>
      <c r="AK305" s="2162"/>
      <c r="BN305" s="61"/>
    </row>
    <row r="306" spans="2:66" ht="12.75">
      <c r="B306" s="58" t="s">
        <v>93</v>
      </c>
      <c r="C306" s="58"/>
      <c r="D306" s="58"/>
      <c r="E306" s="58"/>
      <c r="F306" s="58"/>
      <c r="G306" s="58"/>
      <c r="H306" s="2222">
        <v>4153568016</v>
      </c>
      <c r="I306" s="2222"/>
      <c r="J306" s="2222"/>
      <c r="K306" s="2222"/>
      <c r="L306" s="2222"/>
      <c r="M306" s="2222"/>
      <c r="N306" s="7" t="s">
        <v>212</v>
      </c>
      <c r="O306" s="7"/>
      <c r="P306" s="2223"/>
      <c r="Q306" s="2223"/>
      <c r="R306" s="2223"/>
      <c r="S306" s="58"/>
      <c r="T306" s="58" t="s">
        <v>93</v>
      </c>
      <c r="V306" s="58"/>
      <c r="W306" s="58"/>
      <c r="X306" s="58"/>
      <c r="Y306" s="58"/>
      <c r="AA306" s="2345">
        <v>8314549956</v>
      </c>
      <c r="AB306" s="2345"/>
      <c r="AC306" s="2345"/>
      <c r="AD306" s="2345"/>
      <c r="AE306" s="2345"/>
      <c r="AF306" s="2345"/>
      <c r="AG306" s="7" t="s">
        <v>212</v>
      </c>
      <c r="AH306" s="7"/>
      <c r="AI306" s="2223">
        <v>1004</v>
      </c>
      <c r="AJ306" s="2223"/>
      <c r="AK306" s="2223"/>
      <c r="BN306" s="61"/>
    </row>
    <row r="307" spans="2:66" ht="12.75">
      <c r="B307" s="58" t="s">
        <v>94</v>
      </c>
      <c r="C307" s="58"/>
      <c r="D307" s="58"/>
      <c r="E307" s="58"/>
      <c r="F307" s="58"/>
      <c r="G307" s="58"/>
      <c r="H307" s="2226">
        <v>4153568001</v>
      </c>
      <c r="I307" s="2226"/>
      <c r="J307" s="2226"/>
      <c r="K307" s="2226"/>
      <c r="L307" s="2226"/>
      <c r="M307" s="2226"/>
      <c r="N307" s="60"/>
      <c r="O307" s="60"/>
      <c r="P307" s="62"/>
      <c r="Q307" s="62"/>
      <c r="R307" s="62"/>
      <c r="S307" s="58"/>
      <c r="T307" s="58" t="s">
        <v>94</v>
      </c>
      <c r="V307" s="58"/>
      <c r="W307" s="58"/>
      <c r="X307" s="58"/>
      <c r="Y307" s="58"/>
      <c r="AA307" s="2157"/>
      <c r="AB307" s="2157"/>
      <c r="AC307" s="2157"/>
      <c r="AD307" s="2157"/>
      <c r="AE307" s="2157"/>
      <c r="AF307" s="2157"/>
      <c r="AG307" s="60"/>
      <c r="AH307" s="60"/>
      <c r="AI307" s="62"/>
      <c r="AJ307" s="62"/>
      <c r="AK307" s="62"/>
      <c r="BN307" s="61"/>
    </row>
    <row r="308" spans="2:66" ht="12.75">
      <c r="B308" s="58" t="s">
        <v>80</v>
      </c>
      <c r="C308" s="58"/>
      <c r="D308" s="58"/>
      <c r="E308" s="58"/>
      <c r="F308" s="58"/>
      <c r="G308" s="58"/>
      <c r="H308" s="2162" t="s">
        <v>2516</v>
      </c>
      <c r="I308" s="2162"/>
      <c r="J308" s="2162"/>
      <c r="K308" s="2162"/>
      <c r="L308" s="2162"/>
      <c r="M308" s="2162"/>
      <c r="N308" s="1935"/>
      <c r="O308" s="1935"/>
      <c r="P308" s="1935"/>
      <c r="Q308" s="1935"/>
      <c r="R308" s="1935"/>
      <c r="S308" s="58"/>
      <c r="T308" s="58" t="s">
        <v>80</v>
      </c>
      <c r="V308" s="58"/>
      <c r="W308" s="58"/>
      <c r="X308" s="58"/>
      <c r="Y308" s="58"/>
      <c r="AA308" s="2162" t="s">
        <v>2601</v>
      </c>
      <c r="AB308" s="2162"/>
      <c r="AC308" s="2162"/>
      <c r="AD308" s="2162"/>
      <c r="AE308" s="2162"/>
      <c r="AF308" s="2162"/>
      <c r="AG308" s="1935"/>
      <c r="AH308" s="1935"/>
      <c r="AI308" s="1935"/>
      <c r="AJ308" s="1935"/>
      <c r="AK308" s="193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1935"/>
      <c r="I310" s="1935"/>
      <c r="J310" s="1935"/>
      <c r="K310" s="1935"/>
      <c r="L310" s="1935"/>
      <c r="M310" s="1935"/>
      <c r="N310" s="1935"/>
      <c r="O310" s="1935"/>
      <c r="P310" s="1935"/>
      <c r="Q310" s="1935"/>
      <c r="R310" s="1935"/>
      <c r="S310" s="58"/>
      <c r="T310" s="58" t="s">
        <v>377</v>
      </c>
      <c r="V310" s="58"/>
      <c r="W310" s="58"/>
      <c r="X310" s="58"/>
      <c r="Y310" s="58"/>
      <c r="AA310" s="1935" t="s">
        <v>2526</v>
      </c>
      <c r="AB310" s="1935"/>
      <c r="AC310" s="1935"/>
      <c r="AD310" s="1935"/>
      <c r="AE310" s="1935"/>
      <c r="AF310" s="1935"/>
      <c r="AG310" s="1935"/>
      <c r="AH310" s="1935"/>
      <c r="AI310" s="1935"/>
      <c r="AJ310" s="1935"/>
      <c r="AK310" s="1935"/>
      <c r="BN310" s="61"/>
    </row>
    <row r="311" spans="2:66" ht="12.75">
      <c r="B311" s="58" t="s">
        <v>506</v>
      </c>
      <c r="C311" s="58"/>
      <c r="D311" s="58"/>
      <c r="E311" s="58"/>
      <c r="F311" s="58"/>
      <c r="H311" s="2162"/>
      <c r="I311" s="2162"/>
      <c r="J311" s="2162"/>
      <c r="K311" s="2162"/>
      <c r="L311" s="2162"/>
      <c r="M311" s="2162"/>
      <c r="N311" s="2162"/>
      <c r="O311" s="2162"/>
      <c r="P311" s="2162"/>
      <c r="Q311" s="2162"/>
      <c r="R311" s="2162"/>
      <c r="S311" s="58"/>
      <c r="T311" s="58" t="s">
        <v>506</v>
      </c>
      <c r="V311" s="58"/>
      <c r="W311" s="58"/>
      <c r="X311" s="58"/>
      <c r="Y311" s="58"/>
      <c r="AA311" s="2162"/>
      <c r="AB311" s="2162"/>
      <c r="AC311" s="2162"/>
      <c r="AD311" s="2162"/>
      <c r="AE311" s="2162"/>
      <c r="AF311" s="2162"/>
      <c r="AG311" s="2162"/>
      <c r="AH311" s="2162"/>
      <c r="AI311" s="2162"/>
      <c r="AJ311" s="2162"/>
      <c r="AK311" s="2162"/>
      <c r="BN311" s="61"/>
    </row>
    <row r="312" spans="2:66" ht="12.75" customHeight="1">
      <c r="B312" s="58" t="s">
        <v>507</v>
      </c>
      <c r="C312" s="58"/>
      <c r="D312" s="58"/>
      <c r="E312" s="58"/>
      <c r="F312" s="58"/>
      <c r="H312" s="2162"/>
      <c r="I312" s="2162"/>
      <c r="J312" s="2162"/>
      <c r="K312" s="2162"/>
      <c r="L312" s="2162"/>
      <c r="M312" s="2162"/>
      <c r="N312" s="2162"/>
      <c r="O312" s="2162"/>
      <c r="P312" s="2162"/>
      <c r="Q312" s="2162"/>
      <c r="R312" s="2162"/>
      <c r="S312" s="58"/>
      <c r="T312" s="58" t="s">
        <v>79</v>
      </c>
      <c r="V312" s="58"/>
      <c r="W312" s="58"/>
      <c r="X312" s="58"/>
      <c r="Y312" s="58"/>
      <c r="AA312" s="2162"/>
      <c r="AB312" s="2162"/>
      <c r="AC312" s="2162"/>
      <c r="AD312" s="2162"/>
      <c r="AE312" s="2162"/>
      <c r="AF312" s="2162"/>
      <c r="AG312" s="2162"/>
      <c r="AH312" s="2162"/>
      <c r="AI312" s="2162"/>
      <c r="AJ312" s="2162"/>
      <c r="AK312" s="2162"/>
      <c r="BN312" s="61"/>
    </row>
    <row r="313" spans="2:66" ht="12.75">
      <c r="B313" s="58" t="s">
        <v>92</v>
      </c>
      <c r="C313" s="58"/>
      <c r="D313" s="58"/>
      <c r="E313" s="58"/>
      <c r="F313" s="58"/>
      <c r="H313" s="2162"/>
      <c r="I313" s="2162"/>
      <c r="J313" s="2162"/>
      <c r="K313" s="2162"/>
      <c r="L313" s="2162"/>
      <c r="M313" s="2162"/>
      <c r="N313" s="2162"/>
      <c r="O313" s="2162"/>
      <c r="P313" s="2162"/>
      <c r="Q313" s="2162"/>
      <c r="R313" s="2162"/>
      <c r="S313" s="58"/>
      <c r="T313" s="58" t="s">
        <v>92</v>
      </c>
      <c r="V313" s="58"/>
      <c r="W313" s="58"/>
      <c r="X313" s="58"/>
      <c r="Y313" s="58"/>
      <c r="AA313" s="2162"/>
      <c r="AB313" s="2162"/>
      <c r="AC313" s="2162"/>
      <c r="AD313" s="2162"/>
      <c r="AE313" s="2162"/>
      <c r="AF313" s="2162"/>
      <c r="AG313" s="2162"/>
      <c r="AH313" s="2162"/>
      <c r="AI313" s="2162"/>
      <c r="AJ313" s="2162"/>
      <c r="AK313" s="2162"/>
      <c r="BN313" s="61"/>
    </row>
    <row r="314" spans="2:66" ht="12.75">
      <c r="B314" s="58" t="s">
        <v>93</v>
      </c>
      <c r="C314" s="58"/>
      <c r="D314" s="58"/>
      <c r="E314" s="58"/>
      <c r="F314" s="58"/>
      <c r="G314" s="58"/>
      <c r="H314" s="2345"/>
      <c r="I314" s="2345"/>
      <c r="J314" s="2345"/>
      <c r="K314" s="2345"/>
      <c r="L314" s="2345"/>
      <c r="M314" s="2345"/>
      <c r="N314" s="7" t="s">
        <v>212</v>
      </c>
      <c r="O314" s="7"/>
      <c r="P314" s="2223"/>
      <c r="Q314" s="2223"/>
      <c r="R314" s="2223"/>
      <c r="S314" s="58"/>
      <c r="T314" s="58" t="s">
        <v>93</v>
      </c>
      <c r="V314" s="58"/>
      <c r="W314" s="58"/>
      <c r="X314" s="58"/>
      <c r="Y314" s="58"/>
      <c r="AA314" s="2345"/>
      <c r="AB314" s="2345"/>
      <c r="AC314" s="2345"/>
      <c r="AD314" s="2345"/>
      <c r="AE314" s="2345"/>
      <c r="AF314" s="2345"/>
      <c r="AG314" s="7" t="s">
        <v>212</v>
      </c>
      <c r="AH314" s="7"/>
      <c r="AI314" s="2223"/>
      <c r="AJ314" s="2223"/>
      <c r="AK314" s="2223"/>
      <c r="BN314" s="61"/>
    </row>
    <row r="315" spans="2:66" ht="12.75">
      <c r="B315" s="58" t="s">
        <v>94</v>
      </c>
      <c r="C315" s="58"/>
      <c r="D315" s="58"/>
      <c r="E315" s="58"/>
      <c r="F315" s="58"/>
      <c r="G315" s="58"/>
      <c r="H315" s="2157"/>
      <c r="I315" s="2157"/>
      <c r="J315" s="2157"/>
      <c r="K315" s="2157"/>
      <c r="L315" s="2157"/>
      <c r="M315" s="2157"/>
      <c r="N315" s="60"/>
      <c r="O315" s="60"/>
      <c r="P315" s="62"/>
      <c r="Q315" s="62"/>
      <c r="R315" s="62"/>
      <c r="S315" s="58"/>
      <c r="T315" s="58" t="s">
        <v>94</v>
      </c>
      <c r="V315" s="58"/>
      <c r="W315" s="58"/>
      <c r="X315" s="58"/>
      <c r="Y315" s="58"/>
      <c r="AA315" s="2157"/>
      <c r="AB315" s="2157"/>
      <c r="AC315" s="2157"/>
      <c r="AD315" s="2157"/>
      <c r="AE315" s="2157"/>
      <c r="AF315" s="2157"/>
      <c r="AG315" s="60"/>
      <c r="AH315" s="60"/>
      <c r="AI315" s="62"/>
      <c r="AJ315" s="62"/>
      <c r="AK315" s="62"/>
      <c r="BN315" s="61"/>
    </row>
    <row r="316" spans="2:66" ht="12.75">
      <c r="B316" s="58" t="s">
        <v>80</v>
      </c>
      <c r="C316" s="58"/>
      <c r="D316" s="58"/>
      <c r="E316" s="58"/>
      <c r="F316" s="58"/>
      <c r="G316" s="58"/>
      <c r="H316" s="2162"/>
      <c r="I316" s="2162"/>
      <c r="J316" s="2162"/>
      <c r="K316" s="2162"/>
      <c r="L316" s="2162"/>
      <c r="M316" s="2162"/>
      <c r="N316" s="1935"/>
      <c r="O316" s="1935"/>
      <c r="P316" s="1935"/>
      <c r="Q316" s="1935"/>
      <c r="R316" s="1935"/>
      <c r="S316" s="58"/>
      <c r="T316" s="58" t="s">
        <v>80</v>
      </c>
      <c r="V316" s="58"/>
      <c r="W316" s="58"/>
      <c r="X316" s="58"/>
      <c r="Y316" s="58"/>
      <c r="AA316" s="2162"/>
      <c r="AB316" s="2162"/>
      <c r="AC316" s="2162"/>
      <c r="AD316" s="2162"/>
      <c r="AE316" s="2162"/>
      <c r="AF316" s="2162"/>
      <c r="AG316" s="1935"/>
      <c r="AH316" s="1935"/>
      <c r="AI316" s="1935"/>
      <c r="AJ316" s="1935"/>
      <c r="AK316" s="1935"/>
      <c r="BN316" s="61"/>
    </row>
    <row r="317" spans="2:66" ht="12.75">
      <c r="BN317" s="61"/>
    </row>
    <row r="318" spans="2:66" ht="12.75">
      <c r="B318" s="7" t="s">
        <v>981</v>
      </c>
      <c r="C318" s="58"/>
      <c r="D318" s="58"/>
      <c r="E318" s="58"/>
      <c r="F318" s="58"/>
      <c r="H318" s="1934" t="s">
        <v>2521</v>
      </c>
      <c r="I318" s="1935"/>
      <c r="J318" s="1935"/>
      <c r="K318" s="1935"/>
      <c r="L318" s="1935"/>
      <c r="M318" s="1935"/>
      <c r="N318" s="1935"/>
      <c r="O318" s="1935"/>
      <c r="P318" s="1935"/>
      <c r="Q318" s="1935"/>
      <c r="R318" s="1935"/>
      <c r="T318" s="58" t="s">
        <v>378</v>
      </c>
      <c r="V318" s="58"/>
      <c r="W318" s="58"/>
      <c r="X318" s="58"/>
      <c r="Y318" s="58"/>
      <c r="AA318" s="1935" t="s">
        <v>2512</v>
      </c>
      <c r="AB318" s="1935"/>
      <c r="AC318" s="1935"/>
      <c r="AD318" s="1935"/>
      <c r="AE318" s="1935"/>
      <c r="AF318" s="1935"/>
      <c r="AG318" s="1935"/>
      <c r="AH318" s="1935"/>
      <c r="AI318" s="1935"/>
      <c r="AJ318" s="1935"/>
      <c r="AK318" s="1935"/>
      <c r="BN318" s="61"/>
    </row>
    <row r="319" spans="2:66" ht="12.75">
      <c r="B319" s="58" t="s">
        <v>506</v>
      </c>
      <c r="C319" s="58"/>
      <c r="D319" s="58"/>
      <c r="E319" s="58"/>
      <c r="F319" s="58"/>
      <c r="H319" s="2162" t="s">
        <v>2522</v>
      </c>
      <c r="I319" s="2162"/>
      <c r="J319" s="2162"/>
      <c r="K319" s="2162"/>
      <c r="L319" s="2162"/>
      <c r="M319" s="2162"/>
      <c r="N319" s="2162"/>
      <c r="O319" s="2162"/>
      <c r="P319" s="2162"/>
      <c r="Q319" s="2162"/>
      <c r="R319" s="2162"/>
      <c r="T319" s="58" t="s">
        <v>506</v>
      </c>
      <c r="V319" s="58"/>
      <c r="W319" s="58"/>
      <c r="X319" s="58"/>
      <c r="Y319" s="58"/>
      <c r="AA319" s="2162" t="s">
        <v>2517</v>
      </c>
      <c r="AB319" s="2162"/>
      <c r="AC319" s="2162"/>
      <c r="AD319" s="2162"/>
      <c r="AE319" s="2162"/>
      <c r="AF319" s="2162"/>
      <c r="AG319" s="2162"/>
      <c r="AH319" s="2162"/>
      <c r="AI319" s="2162"/>
      <c r="AJ319" s="2162"/>
      <c r="AK319" s="2162"/>
      <c r="BN319" s="61"/>
    </row>
    <row r="320" spans="2:66" ht="12.75">
      <c r="B320" s="58" t="s">
        <v>507</v>
      </c>
      <c r="C320" s="58"/>
      <c r="D320" s="58"/>
      <c r="E320" s="58"/>
      <c r="F320" s="58"/>
      <c r="H320" s="2162" t="s">
        <v>2523</v>
      </c>
      <c r="I320" s="2162"/>
      <c r="J320" s="2162"/>
      <c r="K320" s="2162"/>
      <c r="L320" s="2162"/>
      <c r="M320" s="2162"/>
      <c r="N320" s="2162"/>
      <c r="O320" s="2162"/>
      <c r="P320" s="2162"/>
      <c r="Q320" s="2162"/>
      <c r="R320" s="2162"/>
      <c r="T320" s="58" t="s">
        <v>79</v>
      </c>
      <c r="V320" s="58"/>
      <c r="W320" s="58"/>
      <c r="X320" s="58"/>
      <c r="Y320" s="58"/>
      <c r="AA320" s="2162" t="s">
        <v>2518</v>
      </c>
      <c r="AB320" s="2162"/>
      <c r="AC320" s="2162"/>
      <c r="AD320" s="2162"/>
      <c r="AE320" s="2162"/>
      <c r="AF320" s="2162"/>
      <c r="AG320" s="2162"/>
      <c r="AH320" s="2162"/>
      <c r="AI320" s="2162"/>
      <c r="AJ320" s="2162"/>
      <c r="AK320" s="2162"/>
      <c r="BN320" s="61"/>
    </row>
    <row r="321" spans="1:66" ht="12.75" customHeight="1">
      <c r="A321" s="39"/>
      <c r="B321" s="58" t="s">
        <v>92</v>
      </c>
      <c r="C321" s="58"/>
      <c r="D321" s="58"/>
      <c r="E321" s="58"/>
      <c r="F321" s="58"/>
      <c r="H321" s="1932" t="s">
        <v>2524</v>
      </c>
      <c r="I321" s="2162"/>
      <c r="J321" s="2162"/>
      <c r="K321" s="2162"/>
      <c r="L321" s="2162"/>
      <c r="M321" s="2162"/>
      <c r="N321" s="2162"/>
      <c r="O321" s="2162"/>
      <c r="P321" s="2162"/>
      <c r="Q321" s="2162"/>
      <c r="R321" s="2162"/>
      <c r="T321" s="58" t="s">
        <v>92</v>
      </c>
      <c r="V321" s="58"/>
      <c r="W321" s="58"/>
      <c r="X321" s="58"/>
      <c r="Y321" s="58"/>
      <c r="AA321" s="2162" t="s">
        <v>2519</v>
      </c>
      <c r="AB321" s="2162"/>
      <c r="AC321" s="2162"/>
      <c r="AD321" s="2162"/>
      <c r="AE321" s="2162"/>
      <c r="AF321" s="2162"/>
      <c r="AG321" s="2162"/>
      <c r="AH321" s="2162"/>
      <c r="AI321" s="2162"/>
      <c r="AJ321" s="2162"/>
      <c r="AK321" s="2162"/>
      <c r="AL321" s="39"/>
      <c r="BN321" s="61"/>
    </row>
    <row r="322" spans="1:66" ht="12.75">
      <c r="A322" s="39"/>
      <c r="B322" s="58" t="s">
        <v>93</v>
      </c>
      <c r="C322" s="58"/>
      <c r="D322" s="58"/>
      <c r="E322" s="58"/>
      <c r="F322" s="58"/>
      <c r="G322" s="58"/>
      <c r="H322" s="2222">
        <v>5108328300</v>
      </c>
      <c r="I322" s="2222"/>
      <c r="J322" s="2222"/>
      <c r="K322" s="2222"/>
      <c r="L322" s="2222"/>
      <c r="M322" s="2222"/>
      <c r="N322" s="7" t="s">
        <v>212</v>
      </c>
      <c r="O322" s="7"/>
      <c r="P322" s="2223">
        <v>2</v>
      </c>
      <c r="Q322" s="2223"/>
      <c r="R322" s="2223"/>
      <c r="S322" s="58"/>
      <c r="T322" s="58" t="s">
        <v>93</v>
      </c>
      <c r="V322" s="58"/>
      <c r="W322" s="58"/>
      <c r="X322" s="58"/>
      <c r="Y322" s="58"/>
      <c r="AA322" s="2222">
        <v>9132623500</v>
      </c>
      <c r="AB322" s="2222"/>
      <c r="AC322" s="2222"/>
      <c r="AD322" s="2222"/>
      <c r="AE322" s="2222"/>
      <c r="AF322" s="2222"/>
      <c r="AG322" s="7" t="s">
        <v>212</v>
      </c>
      <c r="AH322" s="7"/>
      <c r="AI322" s="2223"/>
      <c r="AJ322" s="2223"/>
      <c r="AK322" s="2223"/>
      <c r="AL322" s="39"/>
      <c r="BN322" s="61"/>
    </row>
    <row r="323" spans="1:66" ht="12.75" customHeight="1">
      <c r="A323" s="39"/>
      <c r="B323" s="58" t="s">
        <v>94</v>
      </c>
      <c r="C323" s="58"/>
      <c r="D323" s="58"/>
      <c r="E323" s="58"/>
      <c r="F323" s="58"/>
      <c r="G323" s="58"/>
      <c r="H323" s="2226">
        <v>5108322227</v>
      </c>
      <c r="I323" s="2226"/>
      <c r="J323" s="2226"/>
      <c r="K323" s="2226"/>
      <c r="L323" s="2226"/>
      <c r="M323" s="2226"/>
      <c r="N323" s="60"/>
      <c r="O323" s="60"/>
      <c r="P323" s="62"/>
      <c r="Q323" s="62"/>
      <c r="R323" s="62"/>
      <c r="S323" s="58"/>
      <c r="T323" s="58" t="s">
        <v>94</v>
      </c>
      <c r="V323" s="58"/>
      <c r="W323" s="58"/>
      <c r="X323" s="58"/>
      <c r="Y323" s="58"/>
      <c r="AA323" s="2226">
        <v>9132623501</v>
      </c>
      <c r="AB323" s="2226"/>
      <c r="AC323" s="2226"/>
      <c r="AD323" s="2226"/>
      <c r="AE323" s="2226"/>
      <c r="AF323" s="2226"/>
      <c r="AG323" s="60"/>
      <c r="AH323" s="60"/>
      <c r="AI323" s="62"/>
      <c r="AJ323" s="62"/>
      <c r="AK323" s="62"/>
      <c r="AL323" s="39"/>
    </row>
    <row r="324" spans="1:66" ht="12.75">
      <c r="A324" s="39"/>
      <c r="B324" s="58" t="s">
        <v>80</v>
      </c>
      <c r="C324" s="58"/>
      <c r="D324" s="58"/>
      <c r="E324" s="58"/>
      <c r="F324" s="58"/>
      <c r="G324" s="58"/>
      <c r="H324" s="2162" t="s">
        <v>2525</v>
      </c>
      <c r="I324" s="2162"/>
      <c r="J324" s="2162"/>
      <c r="K324" s="2162"/>
      <c r="L324" s="2162"/>
      <c r="M324" s="2162"/>
      <c r="N324" s="1935"/>
      <c r="O324" s="1935"/>
      <c r="P324" s="1935"/>
      <c r="Q324" s="1935"/>
      <c r="R324" s="1935"/>
      <c r="S324" s="58"/>
      <c r="T324" s="58" t="s">
        <v>80</v>
      </c>
      <c r="V324" s="58"/>
      <c r="W324" s="58"/>
      <c r="X324" s="58"/>
      <c r="Y324" s="58"/>
      <c r="AA324" s="2162" t="s">
        <v>2520</v>
      </c>
      <c r="AB324" s="2162"/>
      <c r="AC324" s="2162"/>
      <c r="AD324" s="2162"/>
      <c r="AE324" s="2162"/>
      <c r="AF324" s="2162"/>
      <c r="AG324" s="1935"/>
      <c r="AH324" s="1935"/>
      <c r="AI324" s="1935"/>
      <c r="AJ324" s="1935"/>
      <c r="AK324" s="193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1935"/>
      <c r="I326" s="1935"/>
      <c r="J326" s="1935"/>
      <c r="K326" s="1935"/>
      <c r="L326" s="1935"/>
      <c r="M326" s="1935"/>
      <c r="N326" s="1935"/>
      <c r="O326" s="1935"/>
      <c r="P326" s="1935"/>
      <c r="Q326" s="1935"/>
      <c r="R326" s="1935"/>
      <c r="T326" s="58" t="s">
        <v>380</v>
      </c>
      <c r="V326" s="58"/>
      <c r="W326" s="58"/>
      <c r="X326" s="58"/>
      <c r="Y326" s="58"/>
      <c r="AA326" s="1935"/>
      <c r="AB326" s="1935"/>
      <c r="AC326" s="1935"/>
      <c r="AD326" s="1935"/>
      <c r="AE326" s="1935"/>
      <c r="AF326" s="1935"/>
      <c r="AG326" s="1935"/>
      <c r="AH326" s="1935"/>
      <c r="AI326" s="1935"/>
      <c r="AJ326" s="1935"/>
      <c r="AK326" s="1935"/>
      <c r="AL326" s="39"/>
    </row>
    <row r="327" spans="1:66" ht="12.75">
      <c r="A327" s="39"/>
      <c r="B327" s="58" t="s">
        <v>506</v>
      </c>
      <c r="C327" s="58"/>
      <c r="D327" s="58"/>
      <c r="E327" s="58"/>
      <c r="F327" s="58"/>
      <c r="H327" s="2162"/>
      <c r="I327" s="2162"/>
      <c r="J327" s="2162"/>
      <c r="K327" s="2162"/>
      <c r="L327" s="2162"/>
      <c r="M327" s="2162"/>
      <c r="N327" s="2162"/>
      <c r="O327" s="2162"/>
      <c r="P327" s="2162"/>
      <c r="Q327" s="2162"/>
      <c r="R327" s="2162"/>
      <c r="T327" s="58" t="s">
        <v>506</v>
      </c>
      <c r="V327" s="58"/>
      <c r="W327" s="58"/>
      <c r="X327" s="58"/>
      <c r="Y327" s="58"/>
      <c r="AA327" s="2162"/>
      <c r="AB327" s="2162"/>
      <c r="AC327" s="2162"/>
      <c r="AD327" s="2162"/>
      <c r="AE327" s="2162"/>
      <c r="AF327" s="2162"/>
      <c r="AG327" s="2162"/>
      <c r="AH327" s="2162"/>
      <c r="AI327" s="2162"/>
      <c r="AJ327" s="2162"/>
      <c r="AK327" s="2162"/>
      <c r="AL327" s="39"/>
    </row>
    <row r="328" spans="1:66" ht="12.75">
      <c r="A328" s="39"/>
      <c r="B328" s="58" t="s">
        <v>507</v>
      </c>
      <c r="C328" s="58"/>
      <c r="D328" s="58"/>
      <c r="E328" s="58"/>
      <c r="F328" s="58"/>
      <c r="H328" s="2162"/>
      <c r="I328" s="2162"/>
      <c r="J328" s="2162"/>
      <c r="K328" s="2162"/>
      <c r="L328" s="2162"/>
      <c r="M328" s="2162"/>
      <c r="N328" s="2162"/>
      <c r="O328" s="2162"/>
      <c r="P328" s="2162"/>
      <c r="Q328" s="2162"/>
      <c r="R328" s="2162"/>
      <c r="T328" s="58" t="s">
        <v>79</v>
      </c>
      <c r="V328" s="58"/>
      <c r="W328" s="58"/>
      <c r="X328" s="58"/>
      <c r="Y328" s="58"/>
      <c r="AA328" s="2162"/>
      <c r="AB328" s="2162"/>
      <c r="AC328" s="2162"/>
      <c r="AD328" s="2162"/>
      <c r="AE328" s="2162"/>
      <c r="AF328" s="2162"/>
      <c r="AG328" s="2162"/>
      <c r="AH328" s="2162"/>
      <c r="AI328" s="2162"/>
      <c r="AJ328" s="2162"/>
      <c r="AK328" s="2162"/>
      <c r="AL328" s="39"/>
    </row>
    <row r="329" spans="1:66" ht="12.75">
      <c r="A329" s="39"/>
      <c r="B329" s="58" t="s">
        <v>92</v>
      </c>
      <c r="C329" s="58"/>
      <c r="D329" s="58"/>
      <c r="E329" s="58"/>
      <c r="F329" s="58"/>
      <c r="H329" s="2162"/>
      <c r="I329" s="2162"/>
      <c r="J329" s="2162"/>
      <c r="K329" s="2162"/>
      <c r="L329" s="2162"/>
      <c r="M329" s="2162"/>
      <c r="N329" s="2162"/>
      <c r="O329" s="2162"/>
      <c r="P329" s="2162"/>
      <c r="Q329" s="2162"/>
      <c r="R329" s="2162"/>
      <c r="T329" s="58" t="s">
        <v>92</v>
      </c>
      <c r="V329" s="58"/>
      <c r="W329" s="58"/>
      <c r="X329" s="58"/>
      <c r="Y329" s="58"/>
      <c r="AA329" s="2162"/>
      <c r="AB329" s="2162"/>
      <c r="AC329" s="2162"/>
      <c r="AD329" s="2162"/>
      <c r="AE329" s="2162"/>
      <c r="AF329" s="2162"/>
      <c r="AG329" s="2162"/>
      <c r="AH329" s="2162"/>
      <c r="AI329" s="2162"/>
      <c r="AJ329" s="2162"/>
      <c r="AK329" s="2162"/>
      <c r="AL329" s="39"/>
    </row>
    <row r="330" spans="1:66" ht="12.75" customHeight="1">
      <c r="A330" s="39"/>
      <c r="B330" s="58" t="s">
        <v>93</v>
      </c>
      <c r="C330" s="58"/>
      <c r="D330" s="58"/>
      <c r="E330" s="58"/>
      <c r="F330" s="58"/>
      <c r="G330" s="58"/>
      <c r="H330" s="2345"/>
      <c r="I330" s="2345"/>
      <c r="J330" s="2345"/>
      <c r="K330" s="2345"/>
      <c r="L330" s="2345"/>
      <c r="M330" s="2345"/>
      <c r="N330" s="7" t="s">
        <v>212</v>
      </c>
      <c r="O330" s="7"/>
      <c r="P330" s="2223"/>
      <c r="Q330" s="2223"/>
      <c r="R330" s="2223"/>
      <c r="S330" s="58"/>
      <c r="T330" s="58" t="s">
        <v>93</v>
      </c>
      <c r="V330" s="58"/>
      <c r="W330" s="58"/>
      <c r="X330" s="58"/>
      <c r="Y330" s="58"/>
      <c r="AA330" s="2345"/>
      <c r="AB330" s="2345"/>
      <c r="AC330" s="2345"/>
      <c r="AD330" s="2345"/>
      <c r="AE330" s="2345"/>
      <c r="AF330" s="2345"/>
      <c r="AG330" s="7" t="s">
        <v>212</v>
      </c>
      <c r="AH330" s="7"/>
      <c r="AI330" s="2223"/>
      <c r="AJ330" s="2223"/>
      <c r="AK330" s="2223"/>
      <c r="AL330" s="39"/>
    </row>
    <row r="331" spans="1:66" ht="12.75">
      <c r="A331" s="39"/>
      <c r="B331" s="58" t="s">
        <v>94</v>
      </c>
      <c r="C331" s="58"/>
      <c r="D331" s="58"/>
      <c r="E331" s="58"/>
      <c r="F331" s="58"/>
      <c r="G331" s="58"/>
      <c r="H331" s="2157"/>
      <c r="I331" s="2157"/>
      <c r="J331" s="2157"/>
      <c r="K331" s="2157"/>
      <c r="L331" s="2157"/>
      <c r="M331" s="2157"/>
      <c r="N331" s="60"/>
      <c r="O331" s="60"/>
      <c r="P331" s="62"/>
      <c r="Q331" s="62"/>
      <c r="R331" s="62"/>
      <c r="S331" s="58"/>
      <c r="T331" s="58" t="s">
        <v>94</v>
      </c>
      <c r="V331" s="58"/>
      <c r="W331" s="58"/>
      <c r="X331" s="58"/>
      <c r="Y331" s="58"/>
      <c r="AA331" s="2157"/>
      <c r="AB331" s="2157"/>
      <c r="AC331" s="2157"/>
      <c r="AD331" s="2157"/>
      <c r="AE331" s="2157"/>
      <c r="AF331" s="2157"/>
      <c r="AG331" s="60"/>
      <c r="AH331" s="60"/>
      <c r="AI331" s="62"/>
      <c r="AJ331" s="62"/>
      <c r="AK331" s="62"/>
      <c r="AL331" s="39"/>
    </row>
    <row r="332" spans="1:66" ht="12.75">
      <c r="A332" s="39"/>
      <c r="B332" s="58" t="s">
        <v>80</v>
      </c>
      <c r="C332" s="58"/>
      <c r="D332" s="58"/>
      <c r="E332" s="58"/>
      <c r="F332" s="58"/>
      <c r="G332" s="58"/>
      <c r="H332" s="2162"/>
      <c r="I332" s="2162"/>
      <c r="J332" s="2162"/>
      <c r="K332" s="2162"/>
      <c r="L332" s="2162"/>
      <c r="M332" s="2162"/>
      <c r="N332" s="1935"/>
      <c r="O332" s="1935"/>
      <c r="P332" s="1935"/>
      <c r="Q332" s="1935"/>
      <c r="R332" s="1935"/>
      <c r="S332" s="58"/>
      <c r="T332" s="58" t="s">
        <v>80</v>
      </c>
      <c r="V332" s="58"/>
      <c r="W332" s="58"/>
      <c r="X332" s="58"/>
      <c r="Y332" s="58"/>
      <c r="AA332" s="2162"/>
      <c r="AB332" s="2162"/>
      <c r="AC332" s="2162"/>
      <c r="AD332" s="2162"/>
      <c r="AE332" s="2162"/>
      <c r="AF332" s="2162"/>
      <c r="AG332" s="1935"/>
      <c r="AH332" s="1935"/>
      <c r="AI332" s="1935"/>
      <c r="AJ332" s="1935"/>
      <c r="AK332" s="193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1935" t="s">
        <v>2527</v>
      </c>
      <c r="I334" s="1935"/>
      <c r="J334" s="1935"/>
      <c r="K334" s="1935"/>
      <c r="L334" s="1935"/>
      <c r="M334" s="1935"/>
      <c r="N334" s="1935"/>
      <c r="O334" s="1935"/>
      <c r="P334" s="1935"/>
      <c r="Q334" s="1935"/>
      <c r="R334" s="1935"/>
      <c r="T334" s="406" t="s">
        <v>956</v>
      </c>
      <c r="V334" s="58"/>
      <c r="W334" s="58"/>
      <c r="X334" s="58"/>
      <c r="Y334" s="58"/>
      <c r="AA334" s="1935" t="s">
        <v>2532</v>
      </c>
      <c r="AB334" s="1935"/>
      <c r="AC334" s="1935"/>
      <c r="AD334" s="1935"/>
      <c r="AE334" s="1935"/>
      <c r="AF334" s="1935"/>
      <c r="AG334" s="1935"/>
      <c r="AH334" s="1935"/>
      <c r="AI334" s="1935"/>
      <c r="AJ334" s="1935"/>
      <c r="AK334" s="1935"/>
      <c r="AL334" s="39"/>
    </row>
    <row r="335" spans="1:66" ht="12.75" customHeight="1">
      <c r="B335" s="58" t="s">
        <v>506</v>
      </c>
      <c r="C335" s="240"/>
      <c r="D335" s="240"/>
      <c r="E335" s="240"/>
      <c r="F335" s="240"/>
      <c r="G335" s="3"/>
      <c r="H335" s="2162" t="s">
        <v>2528</v>
      </c>
      <c r="I335" s="2162"/>
      <c r="J335" s="2162"/>
      <c r="K335" s="2162"/>
      <c r="L335" s="2162"/>
      <c r="M335" s="2162"/>
      <c r="N335" s="2162"/>
      <c r="O335" s="2162"/>
      <c r="P335" s="2162"/>
      <c r="Q335" s="2162"/>
      <c r="R335" s="2162"/>
      <c r="T335" s="58" t="s">
        <v>506</v>
      </c>
      <c r="V335" s="58"/>
      <c r="W335" s="58"/>
      <c r="X335" s="58"/>
      <c r="Y335" s="58"/>
      <c r="AA335" s="2162" t="s">
        <v>2533</v>
      </c>
      <c r="AB335" s="2162"/>
      <c r="AC335" s="2162"/>
      <c r="AD335" s="2162"/>
      <c r="AE335" s="2162"/>
      <c r="AF335" s="2162"/>
      <c r="AG335" s="2162"/>
      <c r="AH335" s="2162"/>
      <c r="AI335" s="2162"/>
      <c r="AJ335" s="2162"/>
      <c r="AK335" s="2162"/>
      <c r="AL335" s="39"/>
    </row>
    <row r="336" spans="1:66" ht="12.75" customHeight="1">
      <c r="B336" s="58" t="s">
        <v>79</v>
      </c>
      <c r="C336" s="240"/>
      <c r="D336" s="240"/>
      <c r="E336" s="240"/>
      <c r="F336" s="240"/>
      <c r="G336" s="3"/>
      <c r="H336" s="2162" t="s">
        <v>2529</v>
      </c>
      <c r="I336" s="2162"/>
      <c r="J336" s="2162"/>
      <c r="K336" s="2162"/>
      <c r="L336" s="2162"/>
      <c r="M336" s="2162"/>
      <c r="N336" s="2162"/>
      <c r="O336" s="2162"/>
      <c r="P336" s="2162"/>
      <c r="Q336" s="2162"/>
      <c r="R336" s="2162"/>
      <c r="T336" s="58" t="s">
        <v>79</v>
      </c>
      <c r="V336" s="58"/>
      <c r="W336" s="58"/>
      <c r="X336" s="58"/>
      <c r="Y336" s="58"/>
      <c r="AA336" s="2162" t="s">
        <v>2501</v>
      </c>
      <c r="AB336" s="2162"/>
      <c r="AC336" s="2162"/>
      <c r="AD336" s="2162"/>
      <c r="AE336" s="2162"/>
      <c r="AF336" s="2162"/>
      <c r="AG336" s="2162"/>
      <c r="AH336" s="2162"/>
      <c r="AI336" s="2162"/>
      <c r="AJ336" s="2162"/>
      <c r="AK336" s="2162"/>
      <c r="AL336" s="39"/>
    </row>
    <row r="337" spans="1:66" ht="12.75" customHeight="1">
      <c r="A337" s="39"/>
      <c r="B337" s="58" t="s">
        <v>92</v>
      </c>
      <c r="C337" s="240"/>
      <c r="D337" s="240"/>
      <c r="E337" s="240"/>
      <c r="F337" s="240"/>
      <c r="G337" s="240"/>
      <c r="H337" s="2162" t="s">
        <v>2530</v>
      </c>
      <c r="I337" s="2162"/>
      <c r="J337" s="2162"/>
      <c r="K337" s="2162"/>
      <c r="L337" s="2162"/>
      <c r="M337" s="2162"/>
      <c r="N337" s="2162"/>
      <c r="O337" s="2162"/>
      <c r="P337" s="2162"/>
      <c r="Q337" s="2162"/>
      <c r="R337" s="2162"/>
      <c r="T337" s="58" t="s">
        <v>92</v>
      </c>
      <c r="V337" s="58"/>
      <c r="W337" s="58"/>
      <c r="X337" s="58"/>
      <c r="Y337" s="58"/>
      <c r="AA337" s="2162" t="s">
        <v>2534</v>
      </c>
      <c r="AB337" s="2162"/>
      <c r="AC337" s="2162"/>
      <c r="AD337" s="2162"/>
      <c r="AE337" s="2162"/>
      <c r="AF337" s="2162"/>
      <c r="AG337" s="2162"/>
      <c r="AH337" s="2162"/>
      <c r="AI337" s="2162"/>
      <c r="AJ337" s="2162"/>
      <c r="AK337" s="2162"/>
      <c r="AL337" s="39"/>
    </row>
    <row r="338" spans="1:66" ht="12.75" customHeight="1">
      <c r="A338" s="39"/>
      <c r="B338" s="58" t="s">
        <v>93</v>
      </c>
      <c r="C338" s="240"/>
      <c r="D338" s="240"/>
      <c r="E338" s="240"/>
      <c r="F338" s="240"/>
      <c r="G338" s="240"/>
      <c r="H338" s="2222">
        <v>7609301333</v>
      </c>
      <c r="I338" s="2222"/>
      <c r="J338" s="2222"/>
      <c r="K338" s="2222"/>
      <c r="L338" s="2222"/>
      <c r="M338" s="2222"/>
      <c r="N338" s="7" t="s">
        <v>212</v>
      </c>
      <c r="O338" s="7"/>
      <c r="P338" s="2223"/>
      <c r="Q338" s="2223"/>
      <c r="R338" s="2223"/>
      <c r="S338" s="58"/>
      <c r="T338" s="58" t="s">
        <v>93</v>
      </c>
      <c r="V338" s="58"/>
      <c r="W338" s="58"/>
      <c r="X338" s="58"/>
      <c r="Y338" s="58"/>
      <c r="AA338" s="2222">
        <v>8317576251</v>
      </c>
      <c r="AB338" s="2222"/>
      <c r="AC338" s="2222"/>
      <c r="AD338" s="2222"/>
      <c r="AE338" s="2222"/>
      <c r="AF338" s="2222"/>
      <c r="AG338" s="7" t="s">
        <v>212</v>
      </c>
      <c r="AH338" s="7"/>
      <c r="AI338" s="2223">
        <v>112</v>
      </c>
      <c r="AJ338" s="2223"/>
      <c r="AK338" s="2223"/>
      <c r="AL338" s="39"/>
    </row>
    <row r="339" spans="1:66" ht="12.75">
      <c r="A339" s="39"/>
      <c r="B339" s="58" t="s">
        <v>94</v>
      </c>
      <c r="C339" s="240"/>
      <c r="D339" s="240"/>
      <c r="E339" s="240"/>
      <c r="F339" s="240"/>
      <c r="G339" s="240"/>
      <c r="H339" s="2226">
        <v>7606833390</v>
      </c>
      <c r="I339" s="2226"/>
      <c r="J339" s="2226"/>
      <c r="K339" s="2226"/>
      <c r="L339" s="2226"/>
      <c r="M339" s="2226"/>
      <c r="N339" s="60"/>
      <c r="O339" s="60"/>
      <c r="P339" s="62"/>
      <c r="Q339" s="62"/>
      <c r="R339" s="62"/>
      <c r="S339" s="58"/>
      <c r="T339" s="58" t="s">
        <v>94</v>
      </c>
      <c r="V339" s="58"/>
      <c r="W339" s="58"/>
      <c r="X339" s="58"/>
      <c r="Y339" s="58"/>
      <c r="AA339" s="2226">
        <v>8317578025</v>
      </c>
      <c r="AB339" s="2226"/>
      <c r="AC339" s="2226"/>
      <c r="AD339" s="2226"/>
      <c r="AE339" s="2226"/>
      <c r="AF339" s="2226"/>
      <c r="AG339" s="60"/>
      <c r="AH339" s="60"/>
      <c r="AI339" s="62"/>
      <c r="AJ339" s="62"/>
      <c r="AK339" s="62"/>
      <c r="AL339" s="39"/>
    </row>
    <row r="340" spans="1:66" ht="12.75">
      <c r="A340" s="39"/>
      <c r="B340" s="58" t="s">
        <v>80</v>
      </c>
      <c r="C340" s="237"/>
      <c r="D340" s="237"/>
      <c r="E340" s="237"/>
      <c r="F340" s="237"/>
      <c r="G340" s="237"/>
      <c r="H340" s="2162" t="s">
        <v>2531</v>
      </c>
      <c r="I340" s="2162"/>
      <c r="J340" s="2162"/>
      <c r="K340" s="2162"/>
      <c r="L340" s="2162"/>
      <c r="M340" s="2162"/>
      <c r="N340" s="1935"/>
      <c r="O340" s="1935"/>
      <c r="P340" s="1935"/>
      <c r="Q340" s="1935"/>
      <c r="R340" s="1935"/>
      <c r="S340" s="58"/>
      <c r="T340" s="58" t="s">
        <v>80</v>
      </c>
      <c r="V340" s="58"/>
      <c r="W340" s="58"/>
      <c r="X340" s="58"/>
      <c r="Y340" s="58"/>
      <c r="AA340" s="1932" t="s">
        <v>2535</v>
      </c>
      <c r="AB340" s="2162"/>
      <c r="AC340" s="2162"/>
      <c r="AD340" s="2162"/>
      <c r="AE340" s="2162"/>
      <c r="AF340" s="2162"/>
      <c r="AG340" s="1935"/>
      <c r="AH340" s="1935"/>
      <c r="AI340" s="1935"/>
      <c r="AJ340" s="1935"/>
      <c r="AK340" s="193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1935"/>
      <c r="Q342" s="1935"/>
      <c r="R342" s="1935"/>
      <c r="S342" s="1935"/>
      <c r="T342" s="1935"/>
      <c r="U342" s="1935"/>
      <c r="V342" s="1935"/>
      <c r="W342" s="1935"/>
      <c r="X342" s="1935"/>
      <c r="Y342" s="1935"/>
      <c r="Z342" s="1935"/>
      <c r="AA342" s="1935"/>
      <c r="AB342" s="1935"/>
      <c r="AC342" s="1935"/>
      <c r="AD342" s="1935"/>
      <c r="AE342" s="1935"/>
      <c r="AF342" s="88"/>
      <c r="AG342" s="88"/>
      <c r="AH342" s="88"/>
      <c r="AI342" s="88"/>
      <c r="AJ342" s="88"/>
      <c r="AK342" s="88"/>
      <c r="AL342" s="39"/>
      <c r="BN342" s="12" t="s">
        <v>628</v>
      </c>
    </row>
    <row r="343" spans="1:66" ht="12.75">
      <c r="A343" s="3"/>
      <c r="B343" s="60"/>
      <c r="C343" s="60"/>
      <c r="D343" s="60"/>
      <c r="E343" s="60"/>
      <c r="F343" s="60"/>
      <c r="G343" s="3"/>
      <c r="H343" s="88"/>
      <c r="I343" s="7" t="s">
        <v>506</v>
      </c>
      <c r="P343" s="2162"/>
      <c r="Q343" s="2162"/>
      <c r="R343" s="2162"/>
      <c r="S343" s="2162"/>
      <c r="T343" s="2162"/>
      <c r="U343" s="2162"/>
      <c r="V343" s="2162"/>
      <c r="W343" s="2162"/>
      <c r="X343" s="2162"/>
      <c r="Y343" s="2162"/>
      <c r="Z343" s="2162"/>
      <c r="AA343" s="2162"/>
      <c r="AB343" s="2162"/>
      <c r="AC343" s="2162"/>
      <c r="AD343" s="2162"/>
      <c r="AE343" s="2162"/>
      <c r="AF343" s="88"/>
      <c r="AG343" s="88"/>
      <c r="AH343" s="88"/>
      <c r="AI343" s="88"/>
      <c r="AJ343" s="88"/>
      <c r="AK343" s="88"/>
      <c r="AL343" s="39"/>
      <c r="BN343" s="12" t="s">
        <v>708</v>
      </c>
    </row>
    <row r="344" spans="1:66" ht="12.75">
      <c r="A344" s="3"/>
      <c r="B344" s="60"/>
      <c r="C344" s="60"/>
      <c r="D344" s="60"/>
      <c r="E344" s="60"/>
      <c r="F344" s="60"/>
      <c r="G344" s="3"/>
      <c r="H344" s="88"/>
      <c r="I344" s="7" t="s">
        <v>79</v>
      </c>
      <c r="P344" s="2162"/>
      <c r="Q344" s="2162"/>
      <c r="R344" s="2162"/>
      <c r="S344" s="2162"/>
      <c r="T344" s="2162"/>
      <c r="U344" s="2162"/>
      <c r="V344" s="2162"/>
      <c r="W344" s="2162"/>
      <c r="X344" s="2162"/>
      <c r="Y344" s="2162"/>
      <c r="Z344" s="2162"/>
      <c r="AA344" s="2162"/>
      <c r="AB344" s="2162"/>
      <c r="AC344" s="2162"/>
      <c r="AD344" s="2162"/>
      <c r="AE344" s="2162"/>
      <c r="AF344" s="88"/>
      <c r="AG344" s="88"/>
      <c r="AH344" s="88"/>
      <c r="AI344" s="88"/>
      <c r="AJ344" s="88"/>
      <c r="AK344" s="88"/>
      <c r="AL344" s="39"/>
      <c r="BN344" s="12" t="s">
        <v>580</v>
      </c>
    </row>
    <row r="345" spans="1:66" ht="12.75">
      <c r="A345" s="3"/>
      <c r="B345" s="60"/>
      <c r="C345" s="60"/>
      <c r="D345" s="60"/>
      <c r="E345" s="60"/>
      <c r="F345" s="60"/>
      <c r="G345" s="60"/>
      <c r="H345" s="88"/>
      <c r="I345" s="7" t="s">
        <v>92</v>
      </c>
      <c r="P345" s="2162"/>
      <c r="Q345" s="2162"/>
      <c r="R345" s="2162"/>
      <c r="S345" s="2162"/>
      <c r="T345" s="2162"/>
      <c r="U345" s="2162"/>
      <c r="V345" s="2162"/>
      <c r="W345" s="2162"/>
      <c r="X345" s="2162"/>
      <c r="Y345" s="2162"/>
      <c r="Z345" s="2162"/>
      <c r="AA345" s="2162"/>
      <c r="AB345" s="2162"/>
      <c r="AC345" s="2162"/>
      <c r="AD345" s="2162"/>
      <c r="AE345" s="2162"/>
      <c r="AF345" s="88"/>
      <c r="AG345" s="88"/>
      <c r="AH345" s="88"/>
      <c r="AI345" s="88"/>
      <c r="AJ345" s="88"/>
      <c r="AK345" s="88"/>
      <c r="AL345" s="39"/>
    </row>
    <row r="346" spans="1:66" ht="12.75">
      <c r="A346" s="3"/>
      <c r="B346" s="60"/>
      <c r="C346" s="60"/>
      <c r="D346" s="60"/>
      <c r="E346" s="60"/>
      <c r="F346" s="60"/>
      <c r="G346" s="60"/>
      <c r="H346" s="466"/>
      <c r="I346" s="7" t="s">
        <v>93</v>
      </c>
      <c r="P346" s="2157"/>
      <c r="Q346" s="2157"/>
      <c r="R346" s="2157"/>
      <c r="S346" s="2157"/>
      <c r="T346" s="2157"/>
      <c r="U346" s="2157"/>
      <c r="V346" s="2157"/>
      <c r="W346" s="2157"/>
      <c r="X346" s="2157"/>
      <c r="Y346" s="2157"/>
      <c r="Z346" s="2157"/>
      <c r="AA346" s="7" t="s">
        <v>212</v>
      </c>
      <c r="AB346" s="7"/>
      <c r="AC346" s="1958"/>
      <c r="AD346" s="1958"/>
      <c r="AE346" s="1958"/>
      <c r="AF346" s="466"/>
      <c r="AG346" s="60"/>
      <c r="AH346" s="60"/>
      <c r="AI346" s="407"/>
      <c r="AJ346" s="407"/>
      <c r="AK346" s="407"/>
      <c r="AL346" s="39"/>
    </row>
    <row r="347" spans="1:66" ht="12.75" customHeight="1">
      <c r="A347" s="3"/>
      <c r="B347" s="60"/>
      <c r="C347" s="60"/>
      <c r="D347" s="60"/>
      <c r="E347" s="60"/>
      <c r="F347" s="60"/>
      <c r="G347" s="60"/>
      <c r="H347" s="466"/>
      <c r="I347" s="7" t="s">
        <v>94</v>
      </c>
      <c r="P347" s="2157"/>
      <c r="Q347" s="2157"/>
      <c r="R347" s="2157"/>
      <c r="S347" s="2157"/>
      <c r="T347" s="2157"/>
      <c r="U347" s="2157"/>
      <c r="V347" s="2157"/>
      <c r="W347" s="2157"/>
      <c r="X347" s="2157"/>
      <c r="Y347" s="2157"/>
      <c r="Z347" s="2157"/>
      <c r="AF347" s="466"/>
      <c r="AG347" s="60"/>
      <c r="AH347" s="60"/>
      <c r="AI347" s="62"/>
      <c r="AJ347" s="62"/>
      <c r="AK347" s="62"/>
      <c r="AL347" s="39"/>
    </row>
    <row r="348" spans="1:66" ht="12.75">
      <c r="A348" s="3"/>
      <c r="B348" s="60"/>
      <c r="C348" s="407"/>
      <c r="D348" s="407"/>
      <c r="E348" s="407"/>
      <c r="F348" s="407"/>
      <c r="G348" s="407"/>
      <c r="H348" s="88"/>
      <c r="I348" s="7" t="s">
        <v>80</v>
      </c>
      <c r="P348" s="1935"/>
      <c r="Q348" s="1935"/>
      <c r="R348" s="1935"/>
      <c r="S348" s="1935"/>
      <c r="T348" s="1935"/>
      <c r="U348" s="1935"/>
      <c r="V348" s="1935"/>
      <c r="W348" s="1935"/>
      <c r="X348" s="1935"/>
      <c r="Y348" s="1935"/>
      <c r="Z348" s="1935"/>
      <c r="AA348" s="1935"/>
      <c r="AB348" s="1935"/>
      <c r="AC348" s="1935"/>
      <c r="AD348" s="1935"/>
      <c r="AE348" s="193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293" t="s">
        <v>577</v>
      </c>
      <c r="B350" s="2293"/>
      <c r="C350" s="2293"/>
      <c r="D350" s="2293"/>
      <c r="E350" s="2293"/>
      <c r="F350" s="2293"/>
      <c r="G350" s="2293"/>
      <c r="H350" s="2293"/>
      <c r="I350" s="2293"/>
      <c r="J350" s="2293"/>
      <c r="K350" s="2293"/>
      <c r="L350" s="2293"/>
      <c r="M350" s="2293"/>
      <c r="N350" s="2293"/>
      <c r="O350" s="2293"/>
      <c r="P350" s="2293"/>
      <c r="Q350" s="2293"/>
      <c r="R350" s="2293"/>
      <c r="S350" s="2293"/>
      <c r="T350" s="2293"/>
      <c r="U350" s="2293"/>
      <c r="V350" s="2293"/>
      <c r="W350" s="2293"/>
      <c r="X350" s="2293"/>
      <c r="Y350" s="2293"/>
      <c r="Z350" s="2293"/>
      <c r="AA350" s="2293"/>
      <c r="AB350" s="2293"/>
      <c r="AC350" s="2293"/>
      <c r="AD350" s="2293"/>
      <c r="AE350" s="2293"/>
      <c r="AF350" s="2293"/>
      <c r="AG350" s="2293"/>
      <c r="AH350" s="2293"/>
      <c r="AI350" s="2293"/>
      <c r="AJ350" s="2293"/>
      <c r="AK350" s="2293"/>
      <c r="AL350" s="2293"/>
      <c r="AM350" s="144"/>
      <c r="AN350" s="144"/>
      <c r="AO350" s="144"/>
      <c r="AP350" s="144"/>
      <c r="AQ350" s="144"/>
      <c r="AR350" s="144"/>
      <c r="AS350" s="144"/>
      <c r="AT350" s="144"/>
      <c r="AU350" s="144"/>
      <c r="AV350" s="144"/>
      <c r="AW350" s="144"/>
      <c r="AX350" s="144"/>
      <c r="AY350" s="144"/>
    </row>
    <row r="351" spans="1:66" ht="13.5" thickBot="1">
      <c r="A351" s="2294"/>
      <c r="B351" s="2294"/>
      <c r="C351" s="2294"/>
      <c r="D351" s="2294"/>
      <c r="E351" s="2294"/>
      <c r="F351" s="2294"/>
      <c r="G351" s="2294"/>
      <c r="H351" s="2294"/>
      <c r="I351" s="2294"/>
      <c r="J351" s="2294"/>
      <c r="K351" s="2294"/>
      <c r="L351" s="2294"/>
      <c r="M351" s="2294"/>
      <c r="N351" s="2294"/>
      <c r="O351" s="2294"/>
      <c r="P351" s="2294"/>
      <c r="Q351" s="2294"/>
      <c r="R351" s="2294"/>
      <c r="S351" s="2294"/>
      <c r="T351" s="2294"/>
      <c r="U351" s="2294"/>
      <c r="V351" s="2294"/>
      <c r="W351" s="2294"/>
      <c r="X351" s="2294"/>
      <c r="Y351" s="2294"/>
      <c r="Z351" s="2294"/>
      <c r="AA351" s="2294"/>
      <c r="AB351" s="2294"/>
      <c r="AC351" s="2294"/>
      <c r="AD351" s="2294"/>
      <c r="AE351" s="2294"/>
      <c r="AF351" s="2294"/>
      <c r="AG351" s="2294"/>
      <c r="AH351" s="2294"/>
      <c r="AI351" s="2294"/>
      <c r="AJ351" s="2294"/>
      <c r="AK351" s="2294"/>
      <c r="AL351" s="229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1961" t="s">
        <v>580</v>
      </c>
      <c r="N354" s="1961"/>
      <c r="P354" s="12" t="s">
        <v>2022</v>
      </c>
      <c r="AJ354" s="1961" t="s">
        <v>628</v>
      </c>
      <c r="AK354" s="1961"/>
    </row>
    <row r="355" spans="1:37" ht="12.75" customHeight="1">
      <c r="D355" s="58" t="s">
        <v>2011</v>
      </c>
      <c r="M355" s="1961" t="s">
        <v>628</v>
      </c>
      <c r="N355" s="1961"/>
      <c r="P355" s="58" t="s">
        <v>2236</v>
      </c>
      <c r="AJ355" s="2159"/>
      <c r="AK355" s="2159"/>
    </row>
    <row r="356" spans="1:37" ht="12.75" customHeight="1">
      <c r="D356" s="12" t="s">
        <v>749</v>
      </c>
      <c r="M356" s="1961" t="s">
        <v>628</v>
      </c>
      <c r="N356" s="1961"/>
      <c r="P356" s="720" t="s">
        <v>2021</v>
      </c>
      <c r="AJ356" s="1961" t="s">
        <v>628</v>
      </c>
      <c r="AK356" s="1961"/>
    </row>
    <row r="357" spans="1:37" ht="12.75" customHeight="1">
      <c r="D357" s="12" t="s">
        <v>750</v>
      </c>
      <c r="M357" s="1961" t="s">
        <v>628</v>
      </c>
      <c r="N357" s="1961"/>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61" t="s">
        <v>628</v>
      </c>
      <c r="O362" s="1961"/>
      <c r="P362" s="69"/>
      <c r="Q362" s="69"/>
      <c r="R362" s="69"/>
      <c r="S362" s="69"/>
      <c r="T362" s="69"/>
      <c r="U362" s="69"/>
      <c r="V362" s="69"/>
      <c r="W362" s="69"/>
      <c r="X362" s="69"/>
      <c r="Y362" s="70"/>
      <c r="Z362" s="70"/>
      <c r="AC362" s="69"/>
      <c r="AD362" s="69"/>
      <c r="AE362" s="69"/>
    </row>
    <row r="363" spans="1:37" ht="12.75" customHeight="1">
      <c r="E363" s="12" t="s">
        <v>383</v>
      </c>
      <c r="Y363" s="1961" t="s">
        <v>628</v>
      </c>
      <c r="Z363" s="1961"/>
    </row>
    <row r="364" spans="1:37" ht="12.75" customHeight="1">
      <c r="D364" s="7" t="s">
        <v>1063</v>
      </c>
      <c r="Q364" s="1935" t="s">
        <v>628</v>
      </c>
      <c r="R364" s="1935"/>
      <c r="S364" s="1935"/>
      <c r="T364" s="1935"/>
      <c r="U364" s="1935"/>
      <c r="V364" s="1935"/>
      <c r="W364" s="1935"/>
      <c r="X364" s="1935"/>
      <c r="Y364" s="1935"/>
      <c r="Z364" s="1935"/>
      <c r="AA364" s="1935"/>
      <c r="AB364" s="1935"/>
      <c r="AC364" s="1935"/>
      <c r="AD364" s="1935"/>
      <c r="AE364" s="1935"/>
      <c r="AF364" s="1935"/>
      <c r="AG364" s="193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61" t="s">
        <v>628</v>
      </c>
      <c r="K366" s="1961"/>
      <c r="L366" s="69"/>
      <c r="M366" s="69"/>
      <c r="N366" s="69"/>
      <c r="O366" s="69"/>
      <c r="P366" s="69"/>
      <c r="Q366" s="69"/>
      <c r="R366" s="69"/>
      <c r="S366" s="69"/>
      <c r="T366" s="69"/>
      <c r="U366" s="69"/>
      <c r="V366" s="69"/>
      <c r="W366" s="69"/>
      <c r="X366" s="69"/>
      <c r="Y366" s="69"/>
      <c r="Z366" s="69"/>
      <c r="AC366" s="69"/>
      <c r="AD366" s="69"/>
      <c r="AE366" s="69"/>
    </row>
    <row r="367" spans="1:37" ht="12.75" customHeight="1">
      <c r="E367" s="2225" t="s">
        <v>751</v>
      </c>
      <c r="F367" s="2225"/>
      <c r="G367" s="2225"/>
      <c r="H367" s="2225"/>
      <c r="I367" s="2225"/>
      <c r="J367" s="2225"/>
      <c r="K367" s="2225"/>
      <c r="L367" s="2225"/>
      <c r="M367" s="2225"/>
      <c r="N367" s="2225"/>
      <c r="O367" s="2225"/>
      <c r="P367" s="2225"/>
      <c r="Q367" s="2225"/>
      <c r="R367" s="2225"/>
      <c r="S367" s="2225"/>
      <c r="T367" s="2225"/>
      <c r="U367" s="2225"/>
      <c r="V367" s="2225"/>
      <c r="W367" s="2225"/>
      <c r="X367" s="2225"/>
      <c r="Y367" s="2225"/>
      <c r="Z367" s="2225"/>
      <c r="AA367" s="2225"/>
      <c r="AB367" s="2225"/>
      <c r="AC367" s="2225"/>
      <c r="AD367" s="2225"/>
      <c r="AE367" s="2225"/>
      <c r="AF367" s="2225"/>
      <c r="AG367" s="2225"/>
      <c r="AH367" s="2225"/>
    </row>
    <row r="368" spans="1:37" ht="12.75" customHeight="1">
      <c r="E368" s="2225"/>
      <c r="F368" s="2225"/>
      <c r="G368" s="2225"/>
      <c r="H368" s="2225"/>
      <c r="I368" s="2225"/>
      <c r="J368" s="2225"/>
      <c r="K368" s="2225"/>
      <c r="L368" s="2225"/>
      <c r="M368" s="2225"/>
      <c r="N368" s="2225"/>
      <c r="O368" s="2225"/>
      <c r="P368" s="2225"/>
      <c r="Q368" s="2225"/>
      <c r="R368" s="2225"/>
      <c r="S368" s="2225"/>
      <c r="T368" s="2225"/>
      <c r="U368" s="2225"/>
      <c r="V368" s="2225"/>
      <c r="W368" s="2225"/>
      <c r="X368" s="2225"/>
      <c r="Y368" s="2225"/>
      <c r="Z368" s="2225"/>
      <c r="AA368" s="2225"/>
      <c r="AB368" s="2225"/>
      <c r="AC368" s="2225"/>
      <c r="AD368" s="2225"/>
      <c r="AE368" s="2225"/>
      <c r="AF368" s="2225"/>
      <c r="AG368" s="2225"/>
      <c r="AH368" s="2225"/>
    </row>
    <row r="369" spans="1:36" ht="12.75" customHeight="1">
      <c r="E369" s="7" t="s">
        <v>481</v>
      </c>
      <c r="F369" s="7"/>
      <c r="G369" s="7"/>
      <c r="H369" s="7"/>
      <c r="I369" s="7"/>
      <c r="J369" s="7"/>
      <c r="K369" s="7"/>
      <c r="L369" s="7"/>
      <c r="N369" s="2128"/>
      <c r="O369" s="2128"/>
      <c r="P369" s="2128"/>
      <c r="Q369" s="2128"/>
      <c r="R369" s="7"/>
      <c r="U369" s="7" t="s">
        <v>482</v>
      </c>
      <c r="V369" s="7"/>
      <c r="W369" s="7"/>
      <c r="X369" s="7"/>
      <c r="Y369" s="7"/>
      <c r="Z369" s="7"/>
      <c r="AA369" s="7"/>
      <c r="AB369" s="7"/>
      <c r="AC369" s="2128"/>
      <c r="AD369" s="2128"/>
      <c r="AE369" s="2128"/>
      <c r="AF369" s="2128"/>
    </row>
    <row r="370" spans="1:36" ht="12.75" customHeight="1">
      <c r="E370" s="7" t="s">
        <v>483</v>
      </c>
      <c r="F370" s="7"/>
      <c r="G370" s="7"/>
      <c r="H370" s="7"/>
      <c r="I370" s="7"/>
      <c r="J370" s="7"/>
      <c r="K370" s="7"/>
      <c r="L370" s="7"/>
      <c r="N370" s="2128"/>
      <c r="O370" s="2128"/>
      <c r="P370" s="2128"/>
      <c r="Q370" s="2128"/>
      <c r="R370" s="7"/>
      <c r="U370" s="7" t="s">
        <v>0</v>
      </c>
      <c r="V370" s="7"/>
      <c r="W370" s="7"/>
      <c r="X370" s="7"/>
      <c r="Y370" s="7"/>
      <c r="Z370" s="7"/>
      <c r="AA370" s="7"/>
      <c r="AB370" s="7"/>
      <c r="AC370" s="2128"/>
      <c r="AD370" s="2128"/>
      <c r="AE370" s="2128"/>
      <c r="AF370" s="2128"/>
    </row>
    <row r="371" spans="1:36" ht="12.75" customHeight="1">
      <c r="E371" s="7" t="s">
        <v>1</v>
      </c>
      <c r="F371" s="7"/>
      <c r="G371" s="7"/>
      <c r="H371" s="7"/>
      <c r="I371" s="7"/>
      <c r="J371" s="7"/>
      <c r="K371" s="7"/>
      <c r="L371" s="7"/>
      <c r="N371" s="2128"/>
      <c r="O371" s="2128"/>
      <c r="P371" s="2128"/>
      <c r="Q371" s="2128"/>
      <c r="R371" s="7"/>
      <c r="V371" s="7"/>
      <c r="W371" s="7"/>
      <c r="X371" s="7"/>
      <c r="Y371" s="7"/>
      <c r="Z371" s="7"/>
      <c r="AA371" s="7"/>
      <c r="AB371" s="7"/>
    </row>
    <row r="372" spans="1:36" ht="12.75" customHeight="1">
      <c r="E372" s="7" t="s">
        <v>2</v>
      </c>
      <c r="F372" s="7"/>
      <c r="G372" s="7"/>
      <c r="H372" s="7"/>
      <c r="I372" s="7"/>
      <c r="J372" s="7"/>
      <c r="K372" s="7"/>
      <c r="L372" s="7"/>
      <c r="N372" s="2389"/>
      <c r="O372" s="2389"/>
      <c r="P372" s="2389"/>
      <c r="Q372" s="2389"/>
      <c r="R372" s="2389"/>
      <c r="S372" s="2389"/>
      <c r="T372" s="2389"/>
      <c r="U372" s="2389"/>
      <c r="V372" s="2389"/>
      <c r="W372" s="2389"/>
      <c r="X372" s="2389"/>
      <c r="Y372" s="2389"/>
      <c r="Z372" s="2389"/>
      <c r="AA372" s="2389"/>
      <c r="AB372" s="2389"/>
      <c r="AC372" s="2389"/>
      <c r="AD372" s="2389"/>
      <c r="AE372" s="2389"/>
      <c r="AF372" s="2389"/>
    </row>
    <row r="373" spans="1:36" ht="12.75" customHeight="1">
      <c r="E373" s="7"/>
      <c r="F373" s="7"/>
      <c r="G373" s="7"/>
      <c r="H373" s="7"/>
      <c r="I373" s="7"/>
      <c r="J373" s="7"/>
      <c r="K373" s="7"/>
      <c r="L373" s="7"/>
      <c r="N373" s="2390"/>
      <c r="O373" s="2390"/>
      <c r="P373" s="2390"/>
      <c r="Q373" s="2390"/>
      <c r="R373" s="2390"/>
      <c r="S373" s="2390"/>
      <c r="T373" s="2390"/>
      <c r="U373" s="2390"/>
      <c r="V373" s="2390"/>
      <c r="W373" s="2390"/>
      <c r="X373" s="2390"/>
      <c r="Y373" s="2390"/>
      <c r="Z373" s="2390"/>
      <c r="AA373" s="2390"/>
      <c r="AB373" s="2390"/>
      <c r="AC373" s="2390"/>
      <c r="AD373" s="2390"/>
      <c r="AE373" s="2390"/>
      <c r="AF373" s="2390"/>
    </row>
    <row r="374" spans="1:36" ht="12.75" customHeight="1">
      <c r="C374" s="837"/>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332"/>
      <c r="T376" s="2332"/>
      <c r="U376" s="4" t="s">
        <v>317</v>
      </c>
      <c r="V376" s="2332"/>
      <c r="W376" s="2332"/>
      <c r="Y376" s="25" t="s">
        <v>315</v>
      </c>
      <c r="AA376" s="25"/>
      <c r="AB376" s="25" t="s">
        <v>316</v>
      </c>
      <c r="AD376" s="2332"/>
      <c r="AE376" s="2332"/>
      <c r="AF376" s="4" t="s">
        <v>317</v>
      </c>
      <c r="AG376" s="2332"/>
      <c r="AH376" s="2332"/>
    </row>
    <row r="377" spans="1:36" ht="12.75" customHeight="1">
      <c r="E377" s="7" t="s">
        <v>1094</v>
      </c>
      <c r="F377" s="7"/>
      <c r="G377" s="7"/>
      <c r="H377" s="7"/>
      <c r="I377" s="7"/>
      <c r="J377" s="7"/>
      <c r="K377" s="7"/>
      <c r="L377" s="7"/>
      <c r="N377" s="2332"/>
      <c r="O377" s="2332"/>
      <c r="P377" s="2332"/>
    </row>
    <row r="378" spans="1:36" ht="12.75" customHeight="1">
      <c r="E378" s="383" t="s">
        <v>1095</v>
      </c>
      <c r="F378" s="7"/>
      <c r="G378" s="7"/>
      <c r="H378" s="7"/>
      <c r="I378" s="7"/>
      <c r="J378" s="7"/>
      <c r="K378" s="7"/>
      <c r="L378" s="7"/>
      <c r="AG378" s="2348" t="s">
        <v>628</v>
      </c>
      <c r="AH378" s="2348"/>
    </row>
    <row r="379" spans="1:36" ht="12.75" customHeight="1">
      <c r="E379" s="7"/>
      <c r="F379" s="7"/>
      <c r="G379" s="7" t="s">
        <v>1116</v>
      </c>
      <c r="H379" s="7"/>
      <c r="I379" s="7"/>
      <c r="J379" s="7"/>
      <c r="K379" s="7"/>
      <c r="L379" s="7"/>
      <c r="AG379" s="2348" t="s">
        <v>628</v>
      </c>
      <c r="AH379" s="2348"/>
    </row>
    <row r="380" spans="1:36" ht="12.75" customHeight="1">
      <c r="E380" s="7"/>
      <c r="F380" s="7"/>
      <c r="G380" s="510" t="s">
        <v>1096</v>
      </c>
      <c r="H380" s="7"/>
      <c r="I380" s="7"/>
      <c r="J380" s="7"/>
      <c r="K380" s="7"/>
      <c r="L380" s="7"/>
      <c r="V380" s="1961" t="s">
        <v>628</v>
      </c>
      <c r="W380" s="1961"/>
      <c r="Y380" s="35" t="s">
        <v>1065</v>
      </c>
    </row>
    <row r="381" spans="1:36" ht="12.75" customHeight="1">
      <c r="E381" s="7" t="s">
        <v>1066</v>
      </c>
      <c r="F381" s="7"/>
      <c r="G381" s="7"/>
      <c r="H381" s="7"/>
      <c r="I381" s="7"/>
      <c r="J381" s="7"/>
      <c r="K381" s="7"/>
      <c r="L381" s="7"/>
      <c r="V381" s="1961" t="s">
        <v>628</v>
      </c>
      <c r="W381" s="1961"/>
      <c r="Y381" s="7" t="s">
        <v>1067</v>
      </c>
    </row>
    <row r="382" spans="1:36" ht="12.75" customHeight="1"/>
    <row r="383" spans="1:36" ht="12.75" customHeight="1">
      <c r="A383" s="50" t="s">
        <v>82</v>
      </c>
      <c r="B383" s="50"/>
    </row>
    <row r="384" spans="1:36" ht="12.75" customHeight="1">
      <c r="D384" s="12" t="s">
        <v>451</v>
      </c>
      <c r="J384" s="1934" t="s">
        <v>2536</v>
      </c>
      <c r="K384" s="1935"/>
      <c r="L384" s="1935"/>
      <c r="M384" s="1935"/>
      <c r="N384" s="1935"/>
      <c r="O384" s="1935"/>
      <c r="P384" s="1935"/>
      <c r="Q384" s="1935"/>
      <c r="R384" s="1935"/>
      <c r="S384" s="1935"/>
      <c r="T384" s="1935"/>
      <c r="U384" s="1935"/>
      <c r="V384" s="14" t="s">
        <v>88</v>
      </c>
      <c r="W384" s="14"/>
      <c r="X384" s="14"/>
      <c r="Y384" s="14"/>
      <c r="Z384" s="14"/>
      <c r="AA384" s="14"/>
      <c r="AB384" s="14"/>
      <c r="AC384" s="1934" t="s">
        <v>2537</v>
      </c>
      <c r="AD384" s="1935"/>
      <c r="AE384" s="1935"/>
      <c r="AF384" s="1935"/>
      <c r="AG384" s="1935"/>
      <c r="AH384" s="1935"/>
      <c r="AI384" s="1935"/>
      <c r="AJ384" s="1935"/>
    </row>
    <row r="385" spans="1:96" ht="12.75" customHeight="1">
      <c r="A385" s="720"/>
      <c r="B385" s="720"/>
      <c r="C385" s="720"/>
      <c r="D385" s="58" t="s">
        <v>1386</v>
      </c>
      <c r="E385" s="720"/>
      <c r="F385" s="720"/>
      <c r="G385" s="720"/>
      <c r="H385" s="720"/>
      <c r="I385" s="720"/>
      <c r="J385" s="1932" t="s">
        <v>2537</v>
      </c>
      <c r="K385" s="2162"/>
      <c r="L385" s="2162"/>
      <c r="M385" s="2162"/>
      <c r="N385" s="2162"/>
      <c r="O385" s="2162"/>
      <c r="P385" s="2162"/>
      <c r="Q385" s="2162"/>
      <c r="R385" s="2162"/>
      <c r="S385" s="2162"/>
      <c r="T385" s="2162"/>
      <c r="U385" s="2162"/>
      <c r="V385" s="58" t="s">
        <v>1386</v>
      </c>
      <c r="W385" s="14"/>
      <c r="X385" s="14"/>
      <c r="Y385" s="14"/>
      <c r="Z385" s="14"/>
      <c r="AA385" s="14"/>
      <c r="AB385" s="14"/>
      <c r="AC385" s="1934" t="s">
        <v>2537</v>
      </c>
      <c r="AD385" s="1935"/>
      <c r="AE385" s="1935"/>
      <c r="AF385" s="1935"/>
      <c r="AG385" s="1935"/>
      <c r="AH385" s="1935"/>
      <c r="AI385" s="1935"/>
      <c r="AJ385" s="1935"/>
      <c r="AK385" s="720"/>
      <c r="AL385" s="720"/>
    </row>
    <row r="386" spans="1:96" ht="12.75" customHeight="1">
      <c r="A386" s="720"/>
      <c r="B386" s="720"/>
      <c r="C386" s="720"/>
      <c r="D386" s="58" t="s">
        <v>466</v>
      </c>
      <c r="E386" s="720"/>
      <c r="F386" s="720"/>
      <c r="G386" s="720"/>
      <c r="H386" s="720"/>
      <c r="I386" s="720"/>
      <c r="J386" s="1932" t="s">
        <v>2538</v>
      </c>
      <c r="K386" s="2162"/>
      <c r="L386" s="2162"/>
      <c r="M386" s="2162"/>
      <c r="N386" s="2162"/>
      <c r="O386" s="2162"/>
      <c r="P386" s="2162"/>
      <c r="Q386" s="2162"/>
      <c r="R386" s="2162"/>
      <c r="S386" s="2162"/>
      <c r="T386" s="2162"/>
      <c r="U386" s="2162"/>
      <c r="V386" s="58" t="s">
        <v>466</v>
      </c>
      <c r="W386" s="14"/>
      <c r="X386" s="14"/>
      <c r="Y386" s="14"/>
      <c r="Z386" s="14"/>
      <c r="AA386" s="14"/>
      <c r="AB386" s="14"/>
      <c r="AC386" s="1934" t="s">
        <v>2538</v>
      </c>
      <c r="AD386" s="1935"/>
      <c r="AE386" s="1935"/>
      <c r="AF386" s="1935"/>
      <c r="AG386" s="1935"/>
      <c r="AH386" s="1935"/>
      <c r="AI386" s="1935"/>
      <c r="AJ386" s="1935"/>
      <c r="AK386" s="720"/>
      <c r="AL386" s="720"/>
    </row>
    <row r="387" spans="1:96" ht="12.75" customHeight="1">
      <c r="A387" s="720"/>
      <c r="B387" s="720"/>
      <c r="C387" s="720"/>
      <c r="D387" s="480" t="s">
        <v>1382</v>
      </c>
      <c r="E387" s="720"/>
      <c r="F387" s="720"/>
      <c r="G387" s="720"/>
      <c r="H387" s="720"/>
      <c r="I387" s="88"/>
      <c r="J387" s="2227" t="s">
        <v>2539</v>
      </c>
      <c r="K387" s="2191"/>
      <c r="L387" s="2191"/>
      <c r="M387" s="2191"/>
      <c r="N387" s="2191"/>
      <c r="O387" s="2191"/>
      <c r="P387" s="2191"/>
      <c r="Q387" s="2191"/>
      <c r="R387" s="2191"/>
      <c r="S387" s="2191"/>
      <c r="T387" s="2191"/>
      <c r="U387" s="2191"/>
      <c r="V387" s="1934" t="s">
        <v>2540</v>
      </c>
      <c r="W387" s="1935"/>
      <c r="X387" s="1935"/>
      <c r="Y387" s="1935"/>
      <c r="Z387" s="1935"/>
      <c r="AA387" s="1935"/>
      <c r="AB387" s="1935"/>
      <c r="AC387" s="1935"/>
      <c r="AD387" s="1935"/>
      <c r="AE387" s="1935"/>
      <c r="AF387" s="1935"/>
      <c r="AG387" s="1935"/>
      <c r="AH387" s="1935"/>
      <c r="AI387" s="1935"/>
      <c r="AJ387" s="1935"/>
      <c r="AK387" s="720"/>
      <c r="AL387" s="720"/>
    </row>
    <row r="388" spans="1:96" ht="12.75" customHeight="1">
      <c r="D388" s="12" t="s">
        <v>4</v>
      </c>
      <c r="Q388" s="2338">
        <v>43878</v>
      </c>
      <c r="R388" s="2338"/>
      <c r="S388" s="2338"/>
      <c r="T388" s="2338"/>
      <c r="U388" s="2338"/>
      <c r="V388" s="12" t="s">
        <v>320</v>
      </c>
      <c r="AI388" s="1961" t="s">
        <v>708</v>
      </c>
      <c r="AJ388" s="1961"/>
    </row>
    <row r="389" spans="1:96" ht="12.75" customHeight="1">
      <c r="D389" s="12" t="s">
        <v>5</v>
      </c>
      <c r="Q389" s="2220">
        <v>44620</v>
      </c>
      <c r="R389" s="2221"/>
      <c r="S389" s="2221"/>
      <c r="T389" s="2221"/>
      <c r="U389" s="2221"/>
      <c r="W389" s="33" t="s">
        <v>78</v>
      </c>
      <c r="AG389" s="2228"/>
      <c r="AH389" s="2228"/>
      <c r="AI389" s="2228"/>
      <c r="AJ389" s="2228"/>
    </row>
    <row r="390" spans="1:96" ht="12.75" customHeight="1">
      <c r="D390" s="12" t="s">
        <v>450</v>
      </c>
      <c r="Q390" s="2210" t="s">
        <v>2583</v>
      </c>
      <c r="R390" s="2210"/>
      <c r="S390" s="2210"/>
      <c r="T390" s="2210"/>
      <c r="U390" s="2210"/>
      <c r="V390" s="58" t="s">
        <v>1385</v>
      </c>
      <c r="AG390" s="2386">
        <v>44470</v>
      </c>
      <c r="AH390" s="2386"/>
      <c r="AI390" s="2386"/>
      <c r="AJ390" s="2386"/>
    </row>
    <row r="391" spans="1:96" ht="12.75" customHeight="1">
      <c r="D391" s="12" t="s">
        <v>93</v>
      </c>
      <c r="I391" s="2345">
        <v>4082079410</v>
      </c>
      <c r="J391" s="2345"/>
      <c r="K391" s="2345"/>
      <c r="L391" s="2345"/>
      <c r="M391" s="2345"/>
      <c r="N391" s="2345"/>
      <c r="Q391" s="57" t="s">
        <v>212</v>
      </c>
      <c r="S391" s="2337"/>
      <c r="T391" s="2337"/>
      <c r="U391" s="2337"/>
      <c r="V391" s="12" t="s">
        <v>77</v>
      </c>
      <c r="AI391" s="1961" t="s">
        <v>708</v>
      </c>
      <c r="AJ391" s="1961"/>
    </row>
    <row r="392" spans="1:96" ht="12.75" customHeight="1">
      <c r="D392" s="12" t="s">
        <v>321</v>
      </c>
      <c r="Q392" s="2098"/>
      <c r="R392" s="2098"/>
      <c r="S392" s="2098"/>
      <c r="T392" s="2098"/>
      <c r="U392" s="2098"/>
      <c r="V392" s="12" t="s">
        <v>322</v>
      </c>
      <c r="AG392" s="2228"/>
      <c r="AH392" s="2228"/>
      <c r="AI392" s="2228"/>
      <c r="AJ392" s="2228"/>
    </row>
    <row r="393" spans="1:96" ht="12.75" customHeight="1">
      <c r="D393" s="12" t="s">
        <v>323</v>
      </c>
      <c r="Q393" s="2333"/>
      <c r="R393" s="2333"/>
      <c r="S393" s="2333"/>
      <c r="T393" s="2333"/>
      <c r="U393" s="2333"/>
      <c r="V393" s="720" t="s">
        <v>1362</v>
      </c>
      <c r="AG393" s="2228"/>
      <c r="AH393" s="2228"/>
      <c r="AI393" s="2228"/>
      <c r="AJ393" s="2228"/>
    </row>
    <row r="394" spans="1:96" ht="12.75">
      <c r="D394" s="720" t="s">
        <v>1361</v>
      </c>
      <c r="V394" s="720"/>
      <c r="AG394" s="2228"/>
      <c r="AH394" s="2228"/>
      <c r="AI394" s="2228"/>
      <c r="AJ394" s="2228"/>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2040</v>
      </c>
      <c r="AG396" s="749"/>
      <c r="AH396" s="749"/>
      <c r="AI396" s="1961" t="s">
        <v>580</v>
      </c>
      <c r="AJ396" s="1961"/>
      <c r="AM396" s="39"/>
      <c r="AN396" s="39"/>
      <c r="AO396" s="39"/>
      <c r="AP396" s="39"/>
      <c r="AQ396" s="39"/>
      <c r="AR396" s="39"/>
      <c r="AS396" s="39"/>
      <c r="AT396" s="39"/>
      <c r="AU396" s="39"/>
      <c r="AV396" s="39"/>
      <c r="AW396" s="39"/>
      <c r="AX396" s="39"/>
      <c r="AY396" s="39"/>
      <c r="CR396" s="25"/>
    </row>
    <row r="397" spans="1:96" s="720" customFormat="1" ht="12.75">
      <c r="D397" s="58" t="s">
        <v>2042</v>
      </c>
      <c r="T397" s="2387" t="s">
        <v>2582</v>
      </c>
      <c r="U397" s="2387"/>
      <c r="V397" s="2387"/>
      <c r="W397" s="2387"/>
      <c r="X397" s="2387"/>
      <c r="Y397" s="2387"/>
      <c r="Z397" s="2387"/>
      <c r="AA397" s="2387"/>
      <c r="AB397" s="2387"/>
      <c r="AC397" s="2387"/>
      <c r="AD397" s="2387"/>
      <c r="AE397" s="2387"/>
      <c r="AF397" s="2387"/>
      <c r="AG397" s="2387"/>
      <c r="AH397" s="2387"/>
      <c r="AI397" s="2387"/>
      <c r="AJ397" s="2387"/>
      <c r="AM397" s="39"/>
      <c r="AN397" s="39"/>
      <c r="AO397" s="39"/>
      <c r="AP397" s="39"/>
      <c r="AQ397" s="39"/>
      <c r="AR397" s="39"/>
      <c r="AS397" s="39"/>
      <c r="AT397" s="39"/>
      <c r="AU397" s="39"/>
      <c r="AV397" s="39"/>
      <c r="AW397" s="39"/>
      <c r="AX397" s="39"/>
      <c r="AY397" s="39"/>
      <c r="CR397" s="25"/>
    </row>
    <row r="398" spans="1:96" s="720" customFormat="1" ht="12.75">
      <c r="D398" s="58" t="s">
        <v>2041</v>
      </c>
      <c r="T398" s="2387"/>
      <c r="U398" s="2387"/>
      <c r="V398" s="2387"/>
      <c r="W398" s="2387"/>
      <c r="X398" s="2387"/>
      <c r="Y398" s="2387"/>
      <c r="Z398" s="2387"/>
      <c r="AA398" s="2387"/>
      <c r="AB398" s="2387"/>
      <c r="AC398" s="2387"/>
      <c r="AD398" s="2387"/>
      <c r="AE398" s="2387"/>
      <c r="AF398" s="2387"/>
      <c r="AG398" s="2387"/>
      <c r="AH398" s="2387"/>
      <c r="AI398" s="2387"/>
      <c r="AJ398" s="2387"/>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2034</v>
      </c>
      <c r="E400" s="720"/>
      <c r="F400" s="720"/>
      <c r="G400" s="720"/>
      <c r="H400" s="720"/>
      <c r="I400" s="720"/>
      <c r="J400" s="720"/>
      <c r="K400" s="720"/>
      <c r="L400" s="720"/>
      <c r="M400" s="720"/>
      <c r="N400" s="720"/>
      <c r="O400" s="720"/>
      <c r="P400" s="720"/>
      <c r="Q400" s="720"/>
      <c r="R400" s="720"/>
      <c r="S400" s="2387" t="s">
        <v>708</v>
      </c>
      <c r="T400" s="2387"/>
      <c r="U400" s="2387"/>
      <c r="V400" s="480" t="s">
        <v>2035</v>
      </c>
      <c r="W400" s="720"/>
      <c r="X400" s="720"/>
      <c r="Y400" s="720"/>
      <c r="Z400" s="720"/>
      <c r="AA400" s="720"/>
      <c r="AB400" s="39"/>
      <c r="AC400" s="39"/>
      <c r="AD400" s="39"/>
      <c r="AE400" s="39"/>
      <c r="AF400" s="39"/>
      <c r="AG400" s="2388"/>
      <c r="AH400" s="2388"/>
      <c r="AI400" s="2388"/>
      <c r="AJ400" s="2388"/>
      <c r="AK400" s="39"/>
      <c r="AL400" s="720"/>
    </row>
    <row r="401" spans="1:96" s="720" customFormat="1" ht="12.75">
      <c r="D401" s="58" t="s">
        <v>2031</v>
      </c>
      <c r="S401" s="2387" t="s">
        <v>628</v>
      </c>
      <c r="T401" s="2387"/>
      <c r="U401" s="2387"/>
      <c r="V401" s="480" t="s">
        <v>2037</v>
      </c>
      <c r="AB401" s="39"/>
      <c r="AC401" s="39"/>
      <c r="AD401" s="39"/>
      <c r="AE401" s="2462"/>
      <c r="AF401" s="2462"/>
      <c r="AG401" s="2462"/>
      <c r="AH401" s="2462"/>
      <c r="AI401" s="2462"/>
      <c r="AJ401" s="2462"/>
      <c r="AK401" s="39"/>
      <c r="AM401" s="39"/>
      <c r="AN401" s="39"/>
      <c r="AO401" s="39"/>
      <c r="AP401" s="39"/>
      <c r="AQ401" s="39"/>
      <c r="AR401" s="39"/>
      <c r="AS401" s="39"/>
      <c r="AT401" s="39"/>
      <c r="AU401" s="39"/>
      <c r="AV401" s="39"/>
      <c r="AW401" s="39"/>
      <c r="AX401" s="39"/>
      <c r="AY401" s="39"/>
      <c r="CR401" s="25"/>
    </row>
    <row r="402" spans="1:96" s="720" customFormat="1" ht="12.75">
      <c r="D402" s="58" t="s">
        <v>2033</v>
      </c>
      <c r="K402" s="2452"/>
      <c r="L402" s="2452"/>
      <c r="M402" s="2452"/>
      <c r="N402" s="2452"/>
      <c r="O402" s="2452"/>
      <c r="P402" s="2452"/>
      <c r="Q402" s="2452"/>
      <c r="R402" s="2452"/>
      <c r="S402" s="2452"/>
      <c r="T402" s="2452"/>
      <c r="U402" s="2452"/>
      <c r="V402" s="2452"/>
      <c r="W402" s="2452"/>
      <c r="X402" s="2452"/>
      <c r="Y402" s="2452"/>
      <c r="Z402" s="2452"/>
      <c r="AA402" s="2452"/>
      <c r="AB402" s="2452"/>
      <c r="AC402" s="2452"/>
      <c r="AD402" s="2452"/>
      <c r="AE402" s="2452"/>
      <c r="AF402" s="2452"/>
      <c r="AG402" s="2452"/>
      <c r="AH402" s="2452"/>
      <c r="AI402" s="2452"/>
      <c r="AJ402" s="2452"/>
      <c r="AK402" s="39"/>
      <c r="AM402" s="39"/>
      <c r="AN402" s="39"/>
      <c r="AO402" s="39"/>
      <c r="AP402" s="39"/>
      <c r="AQ402" s="39"/>
      <c r="AR402" s="39"/>
      <c r="AS402" s="39"/>
      <c r="AT402" s="39"/>
      <c r="AU402" s="39"/>
      <c r="AV402" s="39"/>
      <c r="AW402" s="39"/>
      <c r="AX402" s="39"/>
      <c r="AY402" s="39"/>
      <c r="CR402" s="25"/>
    </row>
    <row r="403" spans="1:96" s="720" customFormat="1" ht="12.75">
      <c r="D403" s="58" t="s">
        <v>2036</v>
      </c>
      <c r="K403" s="2452"/>
      <c r="L403" s="2452"/>
      <c r="M403" s="2452"/>
      <c r="N403" s="2452"/>
      <c r="O403" s="2452"/>
      <c r="P403" s="2452"/>
      <c r="Q403" s="2452"/>
      <c r="R403" s="2452"/>
      <c r="S403" s="2452"/>
      <c r="T403" s="2452"/>
      <c r="U403" s="2452"/>
      <c r="V403" s="2452"/>
      <c r="W403" s="2452"/>
      <c r="X403" s="2452"/>
      <c r="Y403" s="2452"/>
      <c r="Z403" s="2452"/>
      <c r="AA403" s="2452"/>
      <c r="AB403" s="2452"/>
      <c r="AC403" s="2452"/>
      <c r="AD403" s="2452"/>
      <c r="AE403" s="2452"/>
      <c r="AF403" s="2452"/>
      <c r="AG403" s="2452"/>
      <c r="AH403" s="2452"/>
      <c r="AI403" s="2452"/>
      <c r="AJ403" s="2452"/>
      <c r="AK403" s="39"/>
      <c r="AM403" s="39"/>
      <c r="AN403" s="39"/>
      <c r="AO403" s="39"/>
      <c r="AP403" s="39"/>
      <c r="AQ403" s="39"/>
      <c r="AR403" s="39"/>
      <c r="AS403" s="39"/>
      <c r="AT403" s="39"/>
      <c r="AU403" s="39"/>
      <c r="AV403" s="39"/>
      <c r="AW403" s="39"/>
      <c r="AX403" s="39"/>
      <c r="AY403" s="39"/>
      <c r="CR403" s="25"/>
    </row>
    <row r="404" spans="1:96" s="720" customFormat="1" ht="12.75" customHeight="1">
      <c r="D404" s="181" t="s">
        <v>2039</v>
      </c>
      <c r="E404" s="1440"/>
      <c r="F404" s="1440"/>
      <c r="G404" s="1440"/>
      <c r="H404" s="1440"/>
      <c r="I404" s="1440"/>
      <c r="J404" s="1440"/>
      <c r="K404" s="1440"/>
      <c r="L404" s="1440"/>
      <c r="M404" s="1440"/>
      <c r="N404" s="1440"/>
      <c r="O404" s="1440"/>
      <c r="P404" s="1440"/>
      <c r="Q404" s="1440"/>
      <c r="R404" s="1440"/>
      <c r="S404" s="2450" t="s">
        <v>1388</v>
      </c>
      <c r="T404" s="2450"/>
      <c r="U404" s="2450"/>
      <c r="V404" s="2450"/>
      <c r="W404" s="2450"/>
      <c r="X404" s="2450"/>
      <c r="Y404" s="2450"/>
      <c r="Z404" s="2450"/>
      <c r="AA404" s="2450"/>
      <c r="AB404" s="2450"/>
      <c r="AC404" s="2450"/>
      <c r="AD404" s="2450"/>
      <c r="AE404" s="2450"/>
      <c r="AF404" s="2450"/>
      <c r="AG404" s="2450"/>
      <c r="AH404" s="2450"/>
      <c r="AI404" s="2450"/>
      <c r="AJ404" s="2450"/>
      <c r="AK404" s="39"/>
      <c r="AL404" s="39"/>
      <c r="AM404" s="39"/>
      <c r="AN404" s="39"/>
      <c r="AO404" s="39"/>
      <c r="AP404" s="39"/>
      <c r="AQ404" s="39"/>
      <c r="AR404" s="39"/>
      <c r="AS404" s="39"/>
      <c r="AT404" s="39"/>
      <c r="AU404" s="39"/>
      <c r="AV404" s="39"/>
      <c r="AW404" s="39"/>
      <c r="AX404" s="39"/>
      <c r="AY404" s="39"/>
      <c r="CR404" s="25"/>
    </row>
    <row r="405" spans="1:96" s="720" customFormat="1" ht="12.75">
      <c r="D405" s="2449" t="s">
        <v>2038</v>
      </c>
      <c r="E405" s="2449"/>
      <c r="F405" s="2449"/>
      <c r="G405" s="2449"/>
      <c r="H405" s="2449"/>
      <c r="I405" s="2449"/>
      <c r="J405" s="2449"/>
      <c r="K405" s="2449"/>
      <c r="L405" s="2449"/>
      <c r="M405" s="2449"/>
      <c r="N405" s="2449"/>
      <c r="O405" s="2449"/>
      <c r="P405" s="2449"/>
      <c r="Q405" s="2449"/>
      <c r="R405" s="2449"/>
      <c r="S405" s="2449"/>
      <c r="T405" s="2449"/>
      <c r="U405" s="2449"/>
      <c r="V405" s="2449"/>
      <c r="W405" s="2449"/>
      <c r="X405" s="2449"/>
      <c r="Y405" s="2449"/>
      <c r="Z405" s="2449"/>
      <c r="AA405" s="2449"/>
      <c r="AB405" s="2449"/>
      <c r="AC405" s="2449"/>
      <c r="AD405" s="2449"/>
      <c r="AE405" s="2449"/>
      <c r="AF405" s="2449"/>
      <c r="AG405" s="2449"/>
      <c r="AH405" s="2449"/>
      <c r="AI405" s="2449"/>
      <c r="AJ405" s="2449"/>
      <c r="AK405" s="39"/>
      <c r="AL405" s="39"/>
      <c r="AM405" s="39"/>
      <c r="AN405" s="39"/>
      <c r="AO405" s="39"/>
      <c r="AP405" s="39"/>
      <c r="AQ405" s="39"/>
      <c r="AR405" s="39"/>
      <c r="AS405" s="39"/>
      <c r="AT405" s="39"/>
      <c r="AU405" s="39"/>
      <c r="AV405" s="39"/>
      <c r="AW405" s="39"/>
      <c r="AX405" s="39"/>
      <c r="AY405" s="39"/>
      <c r="CR405" s="25"/>
    </row>
    <row r="406" spans="1:96" s="720" customFormat="1" ht="12.75">
      <c r="D406" s="2449"/>
      <c r="E406" s="2449"/>
      <c r="F406" s="2449"/>
      <c r="G406" s="2449"/>
      <c r="H406" s="2449"/>
      <c r="I406" s="2449"/>
      <c r="J406" s="2449"/>
      <c r="K406" s="2449"/>
      <c r="L406" s="2449"/>
      <c r="M406" s="2449"/>
      <c r="N406" s="2449"/>
      <c r="O406" s="2449"/>
      <c r="P406" s="2449"/>
      <c r="Q406" s="2449"/>
      <c r="R406" s="2449"/>
      <c r="S406" s="2449"/>
      <c r="T406" s="2449"/>
      <c r="U406" s="2449"/>
      <c r="V406" s="2449"/>
      <c r="W406" s="2449"/>
      <c r="X406" s="2449"/>
      <c r="Y406" s="2449"/>
      <c r="Z406" s="2449"/>
      <c r="AA406" s="2449"/>
      <c r="AB406" s="2449"/>
      <c r="AC406" s="2449"/>
      <c r="AD406" s="2449"/>
      <c r="AE406" s="2449"/>
      <c r="AF406" s="2449"/>
      <c r="AG406" s="2449"/>
      <c r="AH406" s="2449"/>
      <c r="AI406" s="2449"/>
      <c r="AJ406" s="2449"/>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1934" t="s">
        <v>2541</v>
      </c>
      <c r="J409" s="1934"/>
      <c r="K409" s="1934"/>
      <c r="L409" s="1934"/>
      <c r="M409" s="1934"/>
      <c r="N409" s="1934"/>
      <c r="O409" s="1934"/>
      <c r="P409" s="1934"/>
      <c r="Q409" s="1934"/>
      <c r="R409" s="1934"/>
      <c r="S409" s="1934"/>
      <c r="T409" s="1934"/>
      <c r="U409" s="1934"/>
      <c r="V409" s="1934"/>
      <c r="W409" s="1934"/>
      <c r="X409" s="1934"/>
      <c r="Y409" s="1934"/>
      <c r="Z409" s="1934"/>
      <c r="AA409" s="1934"/>
      <c r="AB409" s="1934"/>
      <c r="AC409" s="1934"/>
      <c r="AD409" s="1934"/>
      <c r="AE409" s="1934"/>
    </row>
    <row r="410" spans="1:96" ht="12.75" customHeight="1">
      <c r="C410" s="25"/>
      <c r="D410" s="25"/>
      <c r="E410" s="12" t="s">
        <v>111</v>
      </c>
      <c r="F410" s="25"/>
      <c r="G410" s="25"/>
      <c r="H410" s="25"/>
      <c r="I410" s="25"/>
      <c r="J410" s="25"/>
      <c r="K410" s="25"/>
      <c r="L410" s="25"/>
      <c r="M410" s="25"/>
      <c r="N410" s="25"/>
      <c r="O410" s="25"/>
      <c r="P410" s="720"/>
      <c r="Q410" s="720"/>
      <c r="R410" s="1961" t="s">
        <v>628</v>
      </c>
      <c r="S410" s="1961"/>
      <c r="T410" s="12" t="s">
        <v>606</v>
      </c>
      <c r="U410" s="720"/>
      <c r="V410" s="720"/>
      <c r="W410" s="720"/>
      <c r="X410" s="720"/>
      <c r="Y410" s="720"/>
      <c r="Z410" s="720"/>
      <c r="AA410" s="720"/>
      <c r="AB410" s="720"/>
      <c r="AC410" s="720"/>
      <c r="AD410" s="2128">
        <v>0</v>
      </c>
      <c r="AE410" s="2128"/>
      <c r="AF410" s="720"/>
    </row>
    <row r="411" spans="1:96" ht="12.75">
      <c r="C411" s="25"/>
      <c r="E411" s="12" t="s">
        <v>112</v>
      </c>
      <c r="F411" s="720"/>
      <c r="G411" s="720"/>
      <c r="H411" s="720"/>
      <c r="I411" s="720"/>
      <c r="J411" s="720"/>
      <c r="K411" s="720"/>
      <c r="L411" s="720"/>
      <c r="M411" s="720"/>
      <c r="N411" s="25"/>
      <c r="O411" s="25"/>
      <c r="P411" s="720"/>
      <c r="Q411" s="720"/>
      <c r="R411" s="1961" t="s">
        <v>580</v>
      </c>
      <c r="S411" s="1961"/>
      <c r="T411" s="12" t="s">
        <v>606</v>
      </c>
      <c r="U411" s="720"/>
      <c r="V411" s="720"/>
      <c r="W411" s="720"/>
      <c r="X411" s="720"/>
      <c r="Y411" s="720"/>
      <c r="Z411" s="720"/>
      <c r="AA411" s="720"/>
      <c r="AB411" s="720"/>
      <c r="AC411" s="720"/>
      <c r="AD411" s="2128">
        <v>0</v>
      </c>
      <c r="AE411" s="2128"/>
      <c r="AF411" s="720"/>
    </row>
    <row r="412" spans="1:96" ht="12.75" customHeight="1">
      <c r="C412" s="25"/>
      <c r="E412" s="12" t="s">
        <v>113</v>
      </c>
      <c r="F412" s="720"/>
      <c r="G412" s="720"/>
      <c r="H412" s="720"/>
      <c r="I412" s="720"/>
      <c r="J412" s="720"/>
      <c r="K412" s="720"/>
      <c r="L412" s="720"/>
      <c r="M412" s="720"/>
      <c r="N412" s="25"/>
      <c r="O412" s="25"/>
      <c r="P412" s="720"/>
      <c r="Q412" s="720"/>
      <c r="R412" s="720"/>
      <c r="S412" s="1961" t="s">
        <v>628</v>
      </c>
      <c r="T412" s="1961"/>
      <c r="U412" s="720"/>
      <c r="V412" s="720"/>
      <c r="W412" s="720"/>
      <c r="X412" s="720"/>
      <c r="Y412" s="720"/>
      <c r="Z412" s="720"/>
      <c r="AA412" s="720"/>
      <c r="AB412" s="720"/>
      <c r="AC412" s="720"/>
      <c r="AD412" s="720"/>
      <c r="AE412" s="720"/>
      <c r="AF412" s="720"/>
    </row>
    <row r="413" spans="1:96" ht="12.75" customHeight="1">
      <c r="E413" s="12" t="s">
        <v>175</v>
      </c>
      <c r="F413" s="720"/>
      <c r="G413" s="720"/>
      <c r="H413" s="2384" t="s">
        <v>2542</v>
      </c>
      <c r="I413" s="2384"/>
      <c r="J413" s="2384"/>
      <c r="K413" s="2384"/>
      <c r="L413" s="2384"/>
      <c r="M413" s="2384"/>
      <c r="N413" s="2384"/>
      <c r="O413" s="2384"/>
      <c r="P413" s="2384"/>
      <c r="Q413" s="2384"/>
      <c r="R413" s="2384"/>
      <c r="S413" s="2384"/>
      <c r="T413" s="2384"/>
      <c r="U413" s="2384"/>
      <c r="V413" s="2384"/>
      <c r="W413" s="2384"/>
      <c r="X413" s="2384"/>
      <c r="Y413" s="2384"/>
      <c r="Z413" s="2384"/>
      <c r="AA413" s="2384"/>
      <c r="AB413" s="2384"/>
      <c r="AC413" s="2384"/>
      <c r="AD413" s="2384"/>
      <c r="AE413" s="2384"/>
      <c r="AF413" s="720"/>
    </row>
    <row r="414" spans="1:96" ht="12.75" customHeight="1">
      <c r="E414" s="25"/>
      <c r="F414" s="720"/>
      <c r="G414" s="720"/>
      <c r="H414" s="2385"/>
      <c r="I414" s="2385"/>
      <c r="J414" s="2385"/>
      <c r="K414" s="2385"/>
      <c r="L414" s="2385"/>
      <c r="M414" s="2385"/>
      <c r="N414" s="2385"/>
      <c r="O414" s="2385"/>
      <c r="P414" s="2385"/>
      <c r="Q414" s="2385"/>
      <c r="R414" s="2385"/>
      <c r="S414" s="2385"/>
      <c r="T414" s="2385"/>
      <c r="U414" s="2385"/>
      <c r="V414" s="2385"/>
      <c r="W414" s="2385"/>
      <c r="X414" s="2385"/>
      <c r="Y414" s="2385"/>
      <c r="Z414" s="2385"/>
      <c r="AA414" s="2385"/>
      <c r="AB414" s="2385"/>
      <c r="AC414" s="2385"/>
      <c r="AD414" s="2385"/>
      <c r="AE414" s="2385"/>
      <c r="AF414" s="720"/>
    </row>
    <row r="415" spans="1:96" ht="12.75" customHeight="1"/>
    <row r="416" spans="1:96" ht="12.75" customHeight="1">
      <c r="A416" s="50" t="s">
        <v>627</v>
      </c>
      <c r="B416" s="50"/>
      <c r="C416" s="50"/>
      <c r="D416" s="50" t="s">
        <v>119</v>
      </c>
      <c r="AF416" s="50" t="s">
        <v>1040</v>
      </c>
    </row>
    <row r="417" spans="1:96" ht="12.75" customHeight="1">
      <c r="E417" s="2332"/>
      <c r="F417" s="2332"/>
      <c r="G417" s="2332"/>
      <c r="H417" s="23" t="s">
        <v>120</v>
      </c>
      <c r="I417" s="2332"/>
      <c r="J417" s="2332"/>
      <c r="K417" s="2332"/>
      <c r="L417" s="12" t="s">
        <v>121</v>
      </c>
      <c r="N417" s="141" t="s">
        <v>612</v>
      </c>
      <c r="P417" s="2224">
        <v>3.08</v>
      </c>
      <c r="Q417" s="2224"/>
      <c r="R417" s="2224"/>
      <c r="S417" s="12" t="s">
        <v>122</v>
      </c>
      <c r="W417" s="2445">
        <f>IF(E417&gt;0,(E417*I417),(P417*43560))</f>
        <v>134164.80000000002</v>
      </c>
      <c r="X417" s="2445"/>
      <c r="Y417" s="2445"/>
      <c r="Z417" s="12" t="s">
        <v>123</v>
      </c>
      <c r="AF417" s="2224">
        <v>21.43</v>
      </c>
      <c r="AG417" s="2224"/>
      <c r="AH417" s="2224"/>
    </row>
    <row r="418" spans="1:96" ht="12.75">
      <c r="E418" s="12" t="s">
        <v>54</v>
      </c>
    </row>
    <row r="419" spans="1:96" ht="12.75" customHeight="1">
      <c r="E419" s="2453"/>
      <c r="F419" s="2453"/>
      <c r="G419" s="2453"/>
      <c r="H419" s="2453"/>
      <c r="I419" s="2453"/>
      <c r="J419" s="2453"/>
      <c r="K419" s="2453"/>
      <c r="L419" s="2453"/>
      <c r="M419" s="2453"/>
      <c r="N419" s="2453"/>
      <c r="O419" s="2453"/>
      <c r="P419" s="2453"/>
      <c r="Q419" s="2453"/>
      <c r="R419" s="2453"/>
      <c r="S419" s="2453"/>
      <c r="T419" s="2453"/>
      <c r="U419" s="2453"/>
      <c r="V419" s="2453"/>
      <c r="W419" s="2453"/>
      <c r="X419" s="2453"/>
      <c r="Y419" s="2453"/>
      <c r="Z419" s="2453"/>
      <c r="AA419" s="2453"/>
      <c r="AB419" s="2453"/>
      <c r="AC419" s="2453"/>
      <c r="AD419" s="2453"/>
      <c r="AE419" s="2453"/>
      <c r="AF419" s="2453"/>
      <c r="AG419" s="2453"/>
      <c r="AH419" s="2453"/>
      <c r="AI419" s="2453"/>
      <c r="AJ419" s="2453"/>
    </row>
    <row r="420" spans="1:96" s="39" customFormat="1" ht="12.75" customHeight="1">
      <c r="E420" s="254" t="s">
        <v>2253</v>
      </c>
      <c r="F420" s="1668"/>
      <c r="G420" s="1668"/>
      <c r="H420" s="1668"/>
      <c r="I420" s="1962">
        <v>3.08</v>
      </c>
      <c r="J420" s="1962"/>
      <c r="K420" s="1962"/>
      <c r="L420" s="1668"/>
      <c r="M420" s="254"/>
      <c r="N420" s="1668"/>
      <c r="O420" s="1668"/>
      <c r="P420" s="1963">
        <f>(CS637+CS645+CS661)/I420</f>
        <v>51.948051948051948</v>
      </c>
      <c r="Q420" s="1963"/>
      <c r="R420" s="1963"/>
      <c r="S420" s="254" t="s">
        <v>2254</v>
      </c>
      <c r="T420" s="1668"/>
      <c r="U420" s="1668"/>
      <c r="V420" s="1668"/>
      <c r="W420" s="1668"/>
      <c r="X420" s="1668"/>
      <c r="Y420" s="1668"/>
      <c r="Z420" s="1668"/>
      <c r="AA420" s="1668"/>
      <c r="AB420" s="1668"/>
      <c r="AC420" s="1668"/>
      <c r="AD420" s="1668"/>
      <c r="AE420" s="1668"/>
      <c r="AF420" s="1668"/>
      <c r="AG420" s="1668"/>
      <c r="AH420" s="1668"/>
      <c r="AI420" s="1668"/>
      <c r="AJ420" s="1668"/>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1961">
        <v>7</v>
      </c>
      <c r="Q423" s="1961"/>
      <c r="S423" s="12" t="s">
        <v>195</v>
      </c>
      <c r="AE423" s="1961">
        <v>6</v>
      </c>
      <c r="AF423" s="1961"/>
    </row>
    <row r="424" spans="1:96" ht="12.75">
      <c r="E424" s="12" t="s">
        <v>196</v>
      </c>
      <c r="P424" s="1961">
        <v>1</v>
      </c>
      <c r="Q424" s="1961"/>
      <c r="S424" s="12" t="s">
        <v>136</v>
      </c>
      <c r="AE424" s="1961" t="s">
        <v>628</v>
      </c>
      <c r="AF424" s="1961"/>
    </row>
    <row r="425" spans="1:96" ht="12.75">
      <c r="F425" s="67" t="s">
        <v>137</v>
      </c>
    </row>
    <row r="426" spans="1:96" ht="12.75">
      <c r="F426" s="2358"/>
      <c r="G426" s="2358"/>
      <c r="H426" s="2358"/>
      <c r="I426" s="2358"/>
      <c r="J426" s="2358"/>
      <c r="K426" s="2358"/>
      <c r="L426" s="2358"/>
      <c r="M426" s="2358"/>
      <c r="N426" s="2358"/>
      <c r="O426" s="2358"/>
      <c r="P426" s="2358"/>
      <c r="Q426" s="2358"/>
      <c r="R426" s="2358"/>
      <c r="S426" s="2358"/>
      <c r="T426" s="2358"/>
      <c r="U426" s="2358"/>
      <c r="V426" s="2358"/>
      <c r="W426" s="2358"/>
      <c r="X426" s="2358"/>
      <c r="Y426" s="2358"/>
      <c r="Z426" s="2358"/>
      <c r="AA426" s="2358"/>
      <c r="AB426" s="2358"/>
      <c r="AC426" s="2358"/>
      <c r="AD426" s="2358"/>
      <c r="AE426" s="2358"/>
      <c r="AF426" s="2358"/>
      <c r="AG426" s="2358"/>
      <c r="AH426" s="2358"/>
    </row>
    <row r="427" spans="1:96" ht="12.75" customHeight="1">
      <c r="F427" s="2359"/>
      <c r="G427" s="2359"/>
      <c r="H427" s="2359"/>
      <c r="I427" s="2359"/>
      <c r="J427" s="2359"/>
      <c r="K427" s="2359"/>
      <c r="L427" s="2359"/>
      <c r="M427" s="2359"/>
      <c r="N427" s="2359"/>
      <c r="O427" s="2359"/>
      <c r="P427" s="2359"/>
      <c r="Q427" s="2359"/>
      <c r="R427" s="2359"/>
      <c r="S427" s="2359"/>
      <c r="T427" s="2359"/>
      <c r="U427" s="2359"/>
      <c r="V427" s="2359"/>
      <c r="W427" s="2359"/>
      <c r="X427" s="2359"/>
      <c r="Y427" s="2359"/>
      <c r="Z427" s="2359"/>
      <c r="AA427" s="2359"/>
      <c r="AB427" s="2359"/>
      <c r="AC427" s="2359"/>
      <c r="AD427" s="2359"/>
      <c r="AE427" s="2359"/>
      <c r="AF427" s="2359"/>
      <c r="AG427" s="2359"/>
      <c r="AH427" s="2359"/>
    </row>
    <row r="428" spans="1:96" ht="12.75" customHeight="1">
      <c r="E428" s="12" t="s">
        <v>645</v>
      </c>
      <c r="N428" s="39"/>
      <c r="O428" s="39"/>
      <c r="P428" s="235"/>
      <c r="Q428" s="1961" t="s">
        <v>708</v>
      </c>
      <c r="R428" s="1961"/>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1961" t="s">
        <v>580</v>
      </c>
      <c r="AG429" s="2441"/>
    </row>
    <row r="430" spans="1:96" ht="12.75" customHeight="1">
      <c r="S430" s="25"/>
      <c r="T430" s="25"/>
    </row>
    <row r="431" spans="1:96" ht="12.75" customHeight="1">
      <c r="A431" s="50"/>
      <c r="B431" s="50"/>
      <c r="C431" s="50"/>
      <c r="E431" s="7" t="s">
        <v>319</v>
      </c>
      <c r="Z431" s="1961" t="s">
        <v>708</v>
      </c>
      <c r="AA431" s="196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1961" t="s">
        <v>628</v>
      </c>
      <c r="AA433" s="1961"/>
    </row>
    <row r="434" spans="1:110" ht="12.75" customHeight="1"/>
    <row r="435" spans="1:110" ht="12.75" customHeight="1">
      <c r="A435" s="50" t="s">
        <v>502</v>
      </c>
      <c r="B435" s="50"/>
      <c r="C435" s="50"/>
      <c r="D435" s="50" t="s">
        <v>826</v>
      </c>
      <c r="AF435" s="80"/>
    </row>
    <row r="436" spans="1:110" ht="12.75" customHeight="1">
      <c r="D436" s="2163" t="s">
        <v>46</v>
      </c>
      <c r="E436" s="2164"/>
      <c r="F436" s="2164"/>
      <c r="G436" s="2164"/>
      <c r="H436" s="2164"/>
      <c r="I436" s="2164"/>
      <c r="J436" s="2164"/>
      <c r="K436" s="2164"/>
      <c r="L436" s="2164"/>
      <c r="M436" s="2164"/>
      <c r="N436" s="2164"/>
      <c r="O436" s="2164"/>
      <c r="P436" s="2164"/>
      <c r="Q436" s="2164"/>
      <c r="R436" s="2164"/>
      <c r="S436" s="2164"/>
      <c r="T436" s="2164"/>
      <c r="U436" s="2164"/>
      <c r="V436" s="2164"/>
      <c r="W436" s="2164"/>
      <c r="X436" s="2164"/>
      <c r="Y436" s="2164"/>
      <c r="Z436" s="2164"/>
      <c r="AA436" s="2164"/>
      <c r="AB436" s="2164"/>
      <c r="AC436" s="2164"/>
      <c r="AD436" s="2164"/>
      <c r="AE436" s="2164"/>
      <c r="AF436" s="2401"/>
      <c r="AG436" s="2400">
        <v>66</v>
      </c>
      <c r="AH436" s="2400"/>
      <c r="AI436" s="2400"/>
      <c r="AJ436" s="2400"/>
    </row>
    <row r="437" spans="1:110" ht="12.75" customHeight="1">
      <c r="D437" s="2397" t="s">
        <v>1445</v>
      </c>
      <c r="E437" s="2398"/>
      <c r="F437" s="2398"/>
      <c r="G437" s="2398"/>
      <c r="H437" s="2398"/>
      <c r="I437" s="2398"/>
      <c r="J437" s="2398"/>
      <c r="K437" s="2398"/>
      <c r="L437" s="2398"/>
      <c r="M437" s="2398"/>
      <c r="N437" s="2398"/>
      <c r="O437" s="2398"/>
      <c r="P437" s="2398"/>
      <c r="Q437" s="2398"/>
      <c r="R437" s="2398"/>
      <c r="S437" s="2398"/>
      <c r="T437" s="2398"/>
      <c r="U437" s="2398"/>
      <c r="V437" s="2398"/>
      <c r="W437" s="2398"/>
      <c r="X437" s="2398"/>
      <c r="Y437" s="2398"/>
      <c r="Z437" s="2398"/>
      <c r="AA437" s="2398"/>
      <c r="AB437" s="2398"/>
      <c r="AC437" s="2398"/>
      <c r="AD437" s="2398"/>
      <c r="AE437" s="2398"/>
      <c r="AF437" s="2399"/>
      <c r="AG437" s="2431">
        <v>0</v>
      </c>
      <c r="AH437" s="2124"/>
      <c r="AI437" s="2124"/>
      <c r="AJ437" s="2124"/>
    </row>
    <row r="438" spans="1:110" ht="12.75" customHeight="1">
      <c r="D438" s="2397" t="s">
        <v>1149</v>
      </c>
      <c r="E438" s="2398"/>
      <c r="F438" s="2398"/>
      <c r="G438" s="2398"/>
      <c r="H438" s="2398"/>
      <c r="I438" s="2398"/>
      <c r="J438" s="2398"/>
      <c r="K438" s="2398"/>
      <c r="L438" s="2398"/>
      <c r="M438" s="2398"/>
      <c r="N438" s="2398"/>
      <c r="O438" s="2398"/>
      <c r="P438" s="2398"/>
      <c r="Q438" s="2398"/>
      <c r="R438" s="2398"/>
      <c r="S438" s="2398"/>
      <c r="T438" s="2398"/>
      <c r="U438" s="2398"/>
      <c r="V438" s="2398"/>
      <c r="W438" s="2398"/>
      <c r="X438" s="2398"/>
      <c r="Y438" s="2398"/>
      <c r="Z438" s="2398"/>
      <c r="AA438" s="2398"/>
      <c r="AB438" s="2398"/>
      <c r="AC438" s="2398"/>
      <c r="AD438" s="2398"/>
      <c r="AE438" s="2398"/>
      <c r="AF438" s="2399"/>
      <c r="AG438" s="2400">
        <v>65</v>
      </c>
      <c r="AH438" s="2400"/>
      <c r="AI438" s="2400"/>
      <c r="AJ438" s="2400"/>
    </row>
    <row r="439" spans="1:110" ht="12.75" customHeight="1">
      <c r="D439" s="2397" t="s">
        <v>1150</v>
      </c>
      <c r="E439" s="2398"/>
      <c r="F439" s="2398"/>
      <c r="G439" s="2398"/>
      <c r="H439" s="2398"/>
      <c r="I439" s="2398"/>
      <c r="J439" s="2398"/>
      <c r="K439" s="2398"/>
      <c r="L439" s="2398"/>
      <c r="M439" s="2398"/>
      <c r="N439" s="2398"/>
      <c r="O439" s="2398"/>
      <c r="P439" s="2398"/>
      <c r="Q439" s="2398"/>
      <c r="R439" s="2398"/>
      <c r="S439" s="2398"/>
      <c r="T439" s="2398"/>
      <c r="U439" s="2398"/>
      <c r="V439" s="2398"/>
      <c r="W439" s="2398"/>
      <c r="X439" s="2398"/>
      <c r="Y439" s="2398"/>
      <c r="Z439" s="2398"/>
      <c r="AA439" s="2398"/>
      <c r="AB439" s="2398"/>
      <c r="AC439" s="2398"/>
      <c r="AD439" s="2398"/>
      <c r="AE439" s="2398"/>
      <c r="AF439" s="2399"/>
      <c r="AG439" s="2400">
        <v>65</v>
      </c>
      <c r="AH439" s="2400"/>
      <c r="AI439" s="2400"/>
      <c r="AJ439" s="2400"/>
    </row>
    <row r="440" spans="1:110" ht="12.75" customHeight="1">
      <c r="D440" s="2397" t="s">
        <v>1152</v>
      </c>
      <c r="E440" s="2398"/>
      <c r="F440" s="2398"/>
      <c r="G440" s="2398"/>
      <c r="H440" s="2398"/>
      <c r="I440" s="2398"/>
      <c r="J440" s="2398"/>
      <c r="K440" s="2398"/>
      <c r="L440" s="2398"/>
      <c r="M440" s="2398"/>
      <c r="N440" s="2398"/>
      <c r="O440" s="2398"/>
      <c r="P440" s="2398"/>
      <c r="Q440" s="2398"/>
      <c r="R440" s="2398"/>
      <c r="S440" s="2398"/>
      <c r="T440" s="2398"/>
      <c r="U440" s="2398"/>
      <c r="V440" s="2398"/>
      <c r="W440" s="2398"/>
      <c r="X440" s="2398"/>
      <c r="Y440" s="2398"/>
      <c r="Z440" s="2398"/>
      <c r="AA440" s="2398"/>
      <c r="AB440" s="2398"/>
      <c r="AC440" s="2398"/>
      <c r="AD440" s="2398"/>
      <c r="AE440" s="2398"/>
      <c r="AF440" s="2399"/>
      <c r="AG440" s="2444">
        <f>IF(ISERROR(AG439/AG438),"",AG439/AG438)</f>
        <v>1</v>
      </c>
      <c r="AH440" s="2444"/>
      <c r="AI440" s="2444"/>
      <c r="AJ440" s="2444"/>
    </row>
    <row r="441" spans="1:110" ht="12.75" customHeight="1">
      <c r="D441" s="2397" t="s">
        <v>1151</v>
      </c>
      <c r="E441" s="2398"/>
      <c r="F441" s="2398"/>
      <c r="G441" s="2398"/>
      <c r="H441" s="2398"/>
      <c r="I441" s="2398"/>
      <c r="J441" s="2398"/>
      <c r="K441" s="2398"/>
      <c r="L441" s="2398"/>
      <c r="M441" s="2398"/>
      <c r="N441" s="2398"/>
      <c r="O441" s="2398"/>
      <c r="P441" s="2398"/>
      <c r="Q441" s="2398"/>
      <c r="R441" s="2398"/>
      <c r="S441" s="2398"/>
      <c r="T441" s="2398"/>
      <c r="U441" s="2398"/>
      <c r="V441" s="2398"/>
      <c r="W441" s="2398"/>
      <c r="X441" s="2398"/>
      <c r="Y441" s="2398"/>
      <c r="Z441" s="2398"/>
      <c r="AA441" s="2398"/>
      <c r="AB441" s="2398"/>
      <c r="AC441" s="2398"/>
      <c r="AD441" s="2398"/>
      <c r="AE441" s="2398"/>
      <c r="AF441" s="2399"/>
      <c r="AG441" s="2391">
        <v>80739</v>
      </c>
      <c r="AH441" s="2391"/>
      <c r="AI441" s="2391"/>
      <c r="AJ441" s="2391"/>
    </row>
    <row r="442" spans="1:110" ht="12.75" customHeight="1">
      <c r="D442" s="2397" t="s">
        <v>1153</v>
      </c>
      <c r="E442" s="2398"/>
      <c r="F442" s="2398"/>
      <c r="G442" s="2398"/>
      <c r="H442" s="2398"/>
      <c r="I442" s="2398"/>
      <c r="J442" s="2398"/>
      <c r="K442" s="2398"/>
      <c r="L442" s="2398"/>
      <c r="M442" s="2398"/>
      <c r="N442" s="2398"/>
      <c r="O442" s="2398"/>
      <c r="P442" s="2398"/>
      <c r="Q442" s="2398"/>
      <c r="R442" s="2398"/>
      <c r="S442" s="2398"/>
      <c r="T442" s="2398"/>
      <c r="U442" s="2398"/>
      <c r="V442" s="2398"/>
      <c r="W442" s="2398"/>
      <c r="X442" s="2398"/>
      <c r="Y442" s="2398"/>
      <c r="Z442" s="2398"/>
      <c r="AA442" s="2398"/>
      <c r="AB442" s="2398"/>
      <c r="AC442" s="2398"/>
      <c r="AD442" s="2398"/>
      <c r="AE442" s="2398"/>
      <c r="AF442" s="2399"/>
      <c r="AG442" s="2391">
        <v>80739</v>
      </c>
      <c r="AH442" s="2391"/>
      <c r="AI442" s="2391"/>
      <c r="AJ442" s="2391"/>
    </row>
    <row r="443" spans="1:110" ht="12.75" customHeight="1">
      <c r="D443" s="2397" t="s">
        <v>1154</v>
      </c>
      <c r="E443" s="2398"/>
      <c r="F443" s="2398"/>
      <c r="G443" s="2398"/>
      <c r="H443" s="2398"/>
      <c r="I443" s="2398"/>
      <c r="J443" s="2398"/>
      <c r="K443" s="2398"/>
      <c r="L443" s="2398"/>
      <c r="M443" s="2398"/>
      <c r="N443" s="2398"/>
      <c r="O443" s="2398"/>
      <c r="P443" s="2398"/>
      <c r="Q443" s="2398"/>
      <c r="R443" s="2398"/>
      <c r="S443" s="2398"/>
      <c r="T443" s="2398"/>
      <c r="U443" s="2398"/>
      <c r="V443" s="2398"/>
      <c r="W443" s="2398"/>
      <c r="X443" s="2398"/>
      <c r="Y443" s="2398"/>
      <c r="Z443" s="2398"/>
      <c r="AA443" s="2398"/>
      <c r="AB443" s="2398"/>
      <c r="AC443" s="2398"/>
      <c r="AD443" s="2398"/>
      <c r="AE443" s="2398"/>
      <c r="AF443" s="2399"/>
      <c r="AG443" s="2444">
        <f>IF(ISERROR(AG442/AG441),"",AG442/AG441)</f>
        <v>1</v>
      </c>
      <c r="AH443" s="2444"/>
      <c r="AI443" s="2444"/>
      <c r="AJ443" s="2444"/>
    </row>
    <row r="444" spans="1:110" ht="12.75" customHeight="1">
      <c r="D444" s="2397" t="s">
        <v>1155</v>
      </c>
      <c r="E444" s="2398"/>
      <c r="F444" s="2398"/>
      <c r="G444" s="2398"/>
      <c r="H444" s="2398"/>
      <c r="I444" s="2398"/>
      <c r="J444" s="2398"/>
      <c r="K444" s="2398"/>
      <c r="L444" s="2398"/>
      <c r="M444" s="2398"/>
      <c r="N444" s="2398"/>
      <c r="O444" s="2398"/>
      <c r="P444" s="2398"/>
      <c r="Q444" s="2398"/>
      <c r="R444" s="2398"/>
      <c r="S444" s="2398"/>
      <c r="T444" s="2398"/>
      <c r="U444" s="2398"/>
      <c r="V444" s="2398"/>
      <c r="W444" s="2398"/>
      <c r="X444" s="2398"/>
      <c r="Y444" s="2398"/>
      <c r="Z444" s="2398"/>
      <c r="AA444" s="2398"/>
      <c r="AB444" s="2398"/>
      <c r="AC444" s="2398"/>
      <c r="AD444" s="2398"/>
      <c r="AE444" s="2398"/>
      <c r="AF444" s="2399"/>
      <c r="AG444" s="2444">
        <f>MIN(IF(AG440&gt;AG443,AG443,AG440),1)</f>
        <v>1</v>
      </c>
      <c r="AH444" s="2444"/>
      <c r="AI444" s="2444"/>
      <c r="AJ444" s="2444"/>
    </row>
    <row r="445" spans="1:110" ht="12.75" customHeight="1">
      <c r="D445" s="2397" t="s">
        <v>1420</v>
      </c>
      <c r="E445" s="2164"/>
      <c r="F445" s="2164"/>
      <c r="G445" s="2164"/>
      <c r="H445" s="2164"/>
      <c r="I445" s="2164"/>
      <c r="J445" s="2164"/>
      <c r="K445" s="2164"/>
      <c r="L445" s="2164"/>
      <c r="M445" s="2164"/>
      <c r="N445" s="2164"/>
      <c r="O445" s="2164"/>
      <c r="P445" s="2164"/>
      <c r="Q445" s="2164"/>
      <c r="R445" s="2164"/>
      <c r="S445" s="2164"/>
      <c r="T445" s="2164"/>
      <c r="U445" s="2164"/>
      <c r="V445" s="2164"/>
      <c r="W445" s="2164"/>
      <c r="X445" s="2164"/>
      <c r="Y445" s="2164"/>
      <c r="Z445" s="2164"/>
      <c r="AA445" s="2164"/>
      <c r="AB445" s="2164"/>
      <c r="AC445" s="2164"/>
      <c r="AD445" s="2164"/>
      <c r="AE445" s="2164"/>
      <c r="AF445" s="2401"/>
      <c r="AG445" s="2391">
        <v>1735</v>
      </c>
      <c r="AH445" s="2391"/>
      <c r="AI445" s="2391"/>
      <c r="AJ445" s="2391"/>
    </row>
    <row r="446" spans="1:110" ht="12.75" customHeight="1">
      <c r="D446" s="2163" t="s">
        <v>604</v>
      </c>
      <c r="E446" s="2164"/>
      <c r="F446" s="2164"/>
      <c r="G446" s="2164"/>
      <c r="H446" s="2164"/>
      <c r="I446" s="2164"/>
      <c r="J446" s="2164"/>
      <c r="K446" s="2164"/>
      <c r="L446" s="2164"/>
      <c r="M446" s="2164"/>
      <c r="N446" s="2164"/>
      <c r="O446" s="2164"/>
      <c r="P446" s="2164"/>
      <c r="Q446" s="2164"/>
      <c r="R446" s="2164"/>
      <c r="S446" s="2164"/>
      <c r="T446" s="2164"/>
      <c r="U446" s="2164"/>
      <c r="V446" s="2164"/>
      <c r="W446" s="2164"/>
      <c r="X446" s="2164"/>
      <c r="Y446" s="2164"/>
      <c r="Z446" s="2164"/>
      <c r="AA446" s="2164"/>
      <c r="AB446" s="2164"/>
      <c r="AC446" s="2164"/>
      <c r="AD446" s="2164"/>
      <c r="AE446" s="2164"/>
      <c r="AF446" s="2401"/>
      <c r="AG446" s="2391">
        <v>0</v>
      </c>
      <c r="AH446" s="2391"/>
      <c r="AI446" s="2391"/>
      <c r="AJ446" s="239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27"/>
      <c r="CS446" s="61"/>
      <c r="CT446" s="61"/>
      <c r="CU446" s="61"/>
      <c r="CV446" s="61"/>
      <c r="CW446" s="61"/>
      <c r="CX446" s="61"/>
      <c r="CY446" s="61"/>
      <c r="CZ446" s="61"/>
      <c r="DA446" s="61"/>
      <c r="DB446" s="61"/>
      <c r="DC446" s="61"/>
      <c r="DD446" s="61"/>
      <c r="DE446" s="61"/>
      <c r="DF446" s="61"/>
    </row>
    <row r="447" spans="1:110" ht="12.4" customHeight="1">
      <c r="D447" s="2397" t="s">
        <v>1421</v>
      </c>
      <c r="E447" s="2164"/>
      <c r="F447" s="2164"/>
      <c r="G447" s="2164"/>
      <c r="H447" s="2164"/>
      <c r="I447" s="2164"/>
      <c r="J447" s="2164"/>
      <c r="K447" s="2164"/>
      <c r="L447" s="2164"/>
      <c r="M447" s="2164"/>
      <c r="N447" s="2164"/>
      <c r="O447" s="2164"/>
      <c r="P447" s="2164"/>
      <c r="Q447" s="2164"/>
      <c r="R447" s="2164"/>
      <c r="S447" s="2164"/>
      <c r="T447" s="2164"/>
      <c r="U447" s="2164"/>
      <c r="V447" s="2164"/>
      <c r="W447" s="2164"/>
      <c r="X447" s="2164"/>
      <c r="Y447" s="2164"/>
      <c r="Z447" s="2164"/>
      <c r="AA447" s="2164"/>
      <c r="AB447" s="2164"/>
      <c r="AC447" s="2164"/>
      <c r="AD447" s="2164"/>
      <c r="AE447" s="2164"/>
      <c r="AF447" s="2401"/>
      <c r="AG447" s="2391">
        <v>2882</v>
      </c>
      <c r="AH447" s="2391"/>
      <c r="AI447" s="2391"/>
      <c r="AJ447" s="239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397" t="s">
        <v>1156</v>
      </c>
      <c r="E448" s="2164"/>
      <c r="F448" s="2164"/>
      <c r="G448" s="2164"/>
      <c r="H448" s="2164"/>
      <c r="I448" s="2164"/>
      <c r="J448" s="2164"/>
      <c r="K448" s="2164"/>
      <c r="L448" s="2164"/>
      <c r="M448" s="2164"/>
      <c r="N448" s="2164"/>
      <c r="O448" s="2164"/>
      <c r="P448" s="2164"/>
      <c r="Q448" s="2164"/>
      <c r="R448" s="2164"/>
      <c r="S448" s="2164"/>
      <c r="T448" s="2164"/>
      <c r="U448" s="2164"/>
      <c r="V448" s="2164"/>
      <c r="W448" s="2164"/>
      <c r="X448" s="2164"/>
      <c r="Y448" s="2164"/>
      <c r="Z448" s="2164"/>
      <c r="AA448" s="2164"/>
      <c r="AB448" s="2164"/>
      <c r="AC448" s="2164"/>
      <c r="AD448" s="2164"/>
      <c r="AE448" s="2164"/>
      <c r="AF448" s="2401"/>
      <c r="AG448" s="2391">
        <v>0</v>
      </c>
      <c r="AH448" s="2391"/>
      <c r="AI448" s="2391"/>
      <c r="AJ448" s="239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14" t="s">
        <v>1157</v>
      </c>
      <c r="E449" s="2415"/>
      <c r="F449" s="2415"/>
      <c r="G449" s="2415"/>
      <c r="H449" s="2415"/>
      <c r="I449" s="2415"/>
      <c r="J449" s="2415"/>
      <c r="K449" s="2415"/>
      <c r="L449" s="2415"/>
      <c r="M449" s="2415"/>
      <c r="N449" s="2415"/>
      <c r="O449" s="2415"/>
      <c r="P449" s="2415"/>
      <c r="Q449" s="2415"/>
      <c r="R449" s="2415"/>
      <c r="S449" s="2415"/>
      <c r="T449" s="2415"/>
      <c r="U449" s="2415"/>
      <c r="V449" s="2415"/>
      <c r="W449" s="2415"/>
      <c r="X449" s="2415"/>
      <c r="Y449" s="2415"/>
      <c r="Z449" s="2415"/>
      <c r="AA449" s="2415"/>
      <c r="AB449" s="2415"/>
      <c r="AC449" s="2415"/>
      <c r="AD449" s="2415"/>
      <c r="AE449" s="2415"/>
      <c r="AF449" s="2416"/>
      <c r="AG449" s="2461">
        <f>AG441+AG445+AG447+AG448</f>
        <v>85356</v>
      </c>
      <c r="AH449" s="2461"/>
      <c r="AI449" s="2461"/>
      <c r="AJ449" s="246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17" t="s">
        <v>1422</v>
      </c>
      <c r="E450" s="2417"/>
      <c r="F450" s="2417"/>
      <c r="G450" s="2417"/>
      <c r="H450" s="2417"/>
      <c r="I450" s="2417"/>
      <c r="J450" s="2417"/>
      <c r="K450" s="2417"/>
      <c r="L450" s="2417"/>
      <c r="M450" s="2417"/>
      <c r="N450" s="2417"/>
      <c r="O450" s="2417"/>
      <c r="P450" s="2417"/>
      <c r="Q450" s="2417"/>
      <c r="R450" s="2417"/>
      <c r="S450" s="2417"/>
      <c r="T450" s="2417"/>
      <c r="U450" s="2417"/>
      <c r="V450" s="2417"/>
      <c r="W450" s="2417"/>
      <c r="X450" s="2417"/>
      <c r="Y450" s="2417"/>
      <c r="Z450" s="2417"/>
      <c r="AA450" s="2417"/>
      <c r="AB450" s="2417"/>
      <c r="AC450" s="2417"/>
      <c r="AD450" s="2417"/>
      <c r="AE450" s="2417"/>
      <c r="AF450" s="2417"/>
      <c r="AG450" s="2417"/>
      <c r="AH450" s="2417"/>
      <c r="AI450" s="2417"/>
      <c r="AJ450" s="241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18"/>
      <c r="E451" s="2418"/>
      <c r="F451" s="2418"/>
      <c r="G451" s="2418"/>
      <c r="H451" s="2418"/>
      <c r="I451" s="2418"/>
      <c r="J451" s="2418"/>
      <c r="K451" s="2418"/>
      <c r="L451" s="2418"/>
      <c r="M451" s="2418"/>
      <c r="N451" s="2418"/>
      <c r="O451" s="2418"/>
      <c r="P451" s="2418"/>
      <c r="Q451" s="2418"/>
      <c r="R451" s="2418"/>
      <c r="S451" s="2418"/>
      <c r="T451" s="2418"/>
      <c r="U451" s="2418"/>
      <c r="V451" s="2418"/>
      <c r="W451" s="2418"/>
      <c r="X451" s="2418"/>
      <c r="Y451" s="2418"/>
      <c r="Z451" s="2418"/>
      <c r="AA451" s="2418"/>
      <c r="AB451" s="2418"/>
      <c r="AC451" s="2418"/>
      <c r="AD451" s="2418"/>
      <c r="AE451" s="2418"/>
      <c r="AF451" s="2418"/>
      <c r="AG451" s="2418"/>
      <c r="AH451" s="2418"/>
      <c r="AI451" s="2418"/>
      <c r="AJ451" s="241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840"/>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23">
        <f ca="1">'Sources and Uses Budget'!B105/Application!AG436</f>
        <v>687342.94223200774</v>
      </c>
      <c r="AD453" s="2423"/>
      <c r="AE453" s="2423"/>
      <c r="AF453" s="242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23">
        <f ca="1">'Sources and Uses Budget'!C105/Application!AG436</f>
        <v>687342.94223200774</v>
      </c>
      <c r="AD454" s="2423"/>
      <c r="AE454" s="2423"/>
      <c r="AF454" s="242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23">
        <f ca="1">('Sources and Uses Budget'!$S$107+'Sources and Uses Budget'!$T$107)/Application!AG436</f>
        <v>605918.5166185447</v>
      </c>
      <c r="AD455" s="2423"/>
      <c r="AE455" s="2423"/>
      <c r="AF455" s="242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79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840"/>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392" t="s">
        <v>735</v>
      </c>
      <c r="E464" s="2393"/>
      <c r="F464" s="2393"/>
      <c r="G464" s="2393"/>
      <c r="H464" s="2393"/>
      <c r="I464" s="2393"/>
      <c r="J464" s="2393"/>
      <c r="K464" s="2393"/>
      <c r="L464" s="2393"/>
      <c r="M464" s="2393"/>
      <c r="N464" s="2393"/>
      <c r="O464" s="2393"/>
      <c r="P464" s="2393"/>
      <c r="Q464" s="2393"/>
      <c r="R464" s="2393"/>
      <c r="S464" s="2393"/>
      <c r="T464" s="2393"/>
      <c r="U464" s="2393"/>
      <c r="V464" s="2394"/>
      <c r="W464" s="2334" t="s">
        <v>628</v>
      </c>
      <c r="X464" s="2335"/>
      <c r="Y464" s="233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392" t="s">
        <v>736</v>
      </c>
      <c r="E465" s="2393"/>
      <c r="F465" s="2393"/>
      <c r="G465" s="2393"/>
      <c r="H465" s="2393"/>
      <c r="I465" s="2393"/>
      <c r="J465" s="2393"/>
      <c r="K465" s="2393"/>
      <c r="L465" s="2393"/>
      <c r="M465" s="2393"/>
      <c r="N465" s="2393"/>
      <c r="O465" s="2393"/>
      <c r="P465" s="2393"/>
      <c r="Q465" s="2393"/>
      <c r="R465" s="2393"/>
      <c r="S465" s="2393"/>
      <c r="T465" s="2393"/>
      <c r="U465" s="2393"/>
      <c r="V465" s="2394"/>
      <c r="W465" s="2334" t="s">
        <v>628</v>
      </c>
      <c r="X465" s="2335"/>
      <c r="Y465" s="233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41"/>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392" t="s">
        <v>737</v>
      </c>
      <c r="E466" s="2393"/>
      <c r="F466" s="2393"/>
      <c r="G466" s="2393"/>
      <c r="H466" s="2393"/>
      <c r="I466" s="2393"/>
      <c r="J466" s="2393"/>
      <c r="K466" s="2393"/>
      <c r="L466" s="2393"/>
      <c r="M466" s="2393"/>
      <c r="N466" s="2393"/>
      <c r="O466" s="2393"/>
      <c r="P466" s="2393"/>
      <c r="Q466" s="2393"/>
      <c r="R466" s="2393"/>
      <c r="S466" s="2393"/>
      <c r="T466" s="2393"/>
      <c r="U466" s="2393"/>
      <c r="V466" s="2394"/>
      <c r="W466" s="2334" t="s">
        <v>628</v>
      </c>
      <c r="X466" s="2335"/>
      <c r="Y466" s="233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92" t="s">
        <v>738</v>
      </c>
      <c r="E467" s="2393"/>
      <c r="F467" s="2393"/>
      <c r="G467" s="2393"/>
      <c r="H467" s="2393"/>
      <c r="I467" s="2393"/>
      <c r="J467" s="2393"/>
      <c r="K467" s="2393"/>
      <c r="L467" s="2393"/>
      <c r="M467" s="2393"/>
      <c r="N467" s="2393"/>
      <c r="O467" s="2393"/>
      <c r="P467" s="2393"/>
      <c r="Q467" s="2393"/>
      <c r="R467" s="2393"/>
      <c r="S467" s="2393"/>
      <c r="T467" s="2393"/>
      <c r="U467" s="2393"/>
      <c r="V467" s="2394"/>
      <c r="W467" s="2334" t="s">
        <v>628</v>
      </c>
      <c r="X467" s="2335"/>
      <c r="Y467" s="233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92" t="s">
        <v>950</v>
      </c>
      <c r="E468" s="2393"/>
      <c r="F468" s="2393"/>
      <c r="G468" s="2393"/>
      <c r="H468" s="2393"/>
      <c r="I468" s="2393"/>
      <c r="J468" s="2393"/>
      <c r="K468" s="2393"/>
      <c r="L468" s="2393"/>
      <c r="M468" s="2393"/>
      <c r="N468" s="2393"/>
      <c r="O468" s="2393"/>
      <c r="P468" s="2393"/>
      <c r="Q468" s="2393"/>
      <c r="R468" s="2393"/>
      <c r="S468" s="2393"/>
      <c r="T468" s="2393"/>
      <c r="U468" s="2393"/>
      <c r="V468" s="2394"/>
      <c r="W468" s="2334" t="s">
        <v>628</v>
      </c>
      <c r="X468" s="2335"/>
      <c r="Y468" s="233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392" t="s">
        <v>739</v>
      </c>
      <c r="E469" s="2393"/>
      <c r="F469" s="2393"/>
      <c r="G469" s="2393"/>
      <c r="H469" s="2393"/>
      <c r="I469" s="2393"/>
      <c r="J469" s="2393"/>
      <c r="K469" s="2393"/>
      <c r="L469" s="2393"/>
      <c r="M469" s="2393"/>
      <c r="N469" s="2393"/>
      <c r="O469" s="2393"/>
      <c r="P469" s="2393"/>
      <c r="Q469" s="2393"/>
      <c r="R469" s="2393"/>
      <c r="S469" s="2393"/>
      <c r="T469" s="2393"/>
      <c r="U469" s="2393"/>
      <c r="V469" s="2394"/>
      <c r="W469" s="2334">
        <v>33</v>
      </c>
      <c r="X469" s="2335"/>
      <c r="Y469" s="233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392" t="s">
        <v>1123</v>
      </c>
      <c r="E470" s="2393"/>
      <c r="F470" s="2393"/>
      <c r="G470" s="2393"/>
      <c r="H470" s="2393"/>
      <c r="I470" s="2393"/>
      <c r="J470" s="2393"/>
      <c r="K470" s="2393"/>
      <c r="L470" s="2393"/>
      <c r="M470" s="2393"/>
      <c r="N470" s="2393"/>
      <c r="O470" s="2393"/>
      <c r="P470" s="2393"/>
      <c r="Q470" s="2393"/>
      <c r="R470" s="2393"/>
      <c r="S470" s="2393"/>
      <c r="T470" s="2393"/>
      <c r="U470" s="2393"/>
      <c r="V470" s="2394"/>
      <c r="W470" s="2334" t="s">
        <v>628</v>
      </c>
      <c r="X470" s="2335"/>
      <c r="Y470" s="233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460" t="s">
        <v>2026</v>
      </c>
      <c r="E471" s="2393"/>
      <c r="F471" s="2393"/>
      <c r="G471" s="2393"/>
      <c r="H471" s="2393"/>
      <c r="I471" s="2393"/>
      <c r="J471" s="2393"/>
      <c r="K471" s="2393"/>
      <c r="L471" s="2393"/>
      <c r="M471" s="2393"/>
      <c r="N471" s="2393"/>
      <c r="O471" s="2393"/>
      <c r="P471" s="2393"/>
      <c r="Q471" s="2393"/>
      <c r="R471" s="2393"/>
      <c r="S471" s="2393"/>
      <c r="T471" s="2393"/>
      <c r="U471" s="2393"/>
      <c r="V471" s="2394"/>
      <c r="W471" s="2334" t="s">
        <v>628</v>
      </c>
      <c r="X471" s="2335"/>
      <c r="Y471" s="233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457" t="s">
        <v>2543</v>
      </c>
      <c r="H472" s="2458"/>
      <c r="I472" s="2458"/>
      <c r="J472" s="2458"/>
      <c r="K472" s="2458"/>
      <c r="L472" s="2458"/>
      <c r="M472" s="2458"/>
      <c r="N472" s="2458"/>
      <c r="O472" s="2458"/>
      <c r="P472" s="2458"/>
      <c r="Q472" s="2458"/>
      <c r="R472" s="2458"/>
      <c r="S472" s="2458"/>
      <c r="T472" s="2458"/>
      <c r="U472" s="2458"/>
      <c r="V472" s="2459"/>
      <c r="W472" s="2334">
        <v>15</v>
      </c>
      <c r="X472" s="2335"/>
      <c r="Y472" s="233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11"/>
      <c r="H473" s="1411"/>
      <c r="I473" s="1411"/>
      <c r="J473" s="1411"/>
      <c r="K473" s="1411"/>
      <c r="L473" s="1411"/>
      <c r="M473" s="1411"/>
      <c r="N473" s="1411"/>
      <c r="O473" s="1411"/>
      <c r="P473" s="1411"/>
      <c r="Q473" s="1411"/>
      <c r="R473" s="1411"/>
      <c r="S473" s="1411"/>
      <c r="T473" s="1411"/>
      <c r="U473" s="1411"/>
      <c r="V473" s="1411"/>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t="s">
        <v>2584</v>
      </c>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06"/>
      <c r="E475" s="1405"/>
      <c r="F475" s="1405"/>
      <c r="G475" s="1405"/>
      <c r="H475" s="1405"/>
      <c r="I475" s="1405"/>
      <c r="J475" s="1405"/>
      <c r="K475" s="1405"/>
      <c r="L475" s="1405"/>
      <c r="M475" s="1405"/>
      <c r="N475" s="1405"/>
      <c r="O475" s="1405"/>
      <c r="P475" s="1405"/>
      <c r="Q475" s="1405"/>
      <c r="R475" s="1405"/>
      <c r="S475" s="1405"/>
      <c r="T475" s="1405"/>
      <c r="U475" s="1405"/>
      <c r="V475" s="1405"/>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06"/>
      <c r="E476" s="1405"/>
      <c r="F476" s="1405"/>
      <c r="G476" s="1405"/>
      <c r="H476" s="1405"/>
      <c r="I476" s="1405"/>
      <c r="J476" s="1405"/>
      <c r="K476" s="1405"/>
      <c r="L476" s="1405"/>
      <c r="M476" s="1405"/>
      <c r="N476" s="1405"/>
      <c r="O476" s="1405"/>
      <c r="P476" s="1405"/>
      <c r="Q476" s="1405"/>
      <c r="R476" s="1405"/>
      <c r="S476" s="1405"/>
      <c r="T476" s="1405"/>
      <c r="U476" s="1405"/>
      <c r="V476" s="1405"/>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293" t="s">
        <v>873</v>
      </c>
      <c r="B478" s="2293"/>
      <c r="C478" s="2293"/>
      <c r="D478" s="2293"/>
      <c r="E478" s="2293"/>
      <c r="F478" s="2293"/>
      <c r="G478" s="2293"/>
      <c r="H478" s="2293"/>
      <c r="I478" s="2293"/>
      <c r="J478" s="2293"/>
      <c r="K478" s="2293"/>
      <c r="L478" s="2293"/>
      <c r="M478" s="2293"/>
      <c r="N478" s="2293"/>
      <c r="O478" s="2293"/>
      <c r="P478" s="2293"/>
      <c r="Q478" s="2293"/>
      <c r="R478" s="2293"/>
      <c r="S478" s="2293"/>
      <c r="T478" s="2293"/>
      <c r="U478" s="2293"/>
      <c r="V478" s="2293"/>
      <c r="W478" s="2293"/>
      <c r="X478" s="2293"/>
      <c r="Y478" s="2293"/>
      <c r="Z478" s="2293"/>
      <c r="AA478" s="2293"/>
      <c r="AB478" s="2293"/>
      <c r="AC478" s="2293"/>
      <c r="AD478" s="2293"/>
      <c r="AE478" s="2293"/>
      <c r="AF478" s="2293"/>
      <c r="AG478" s="2293"/>
      <c r="AH478" s="2293"/>
      <c r="AI478" s="2293"/>
      <c r="AJ478" s="2293"/>
      <c r="AK478" s="2293"/>
      <c r="AL478" s="229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294"/>
      <c r="B479" s="2294"/>
      <c r="C479" s="2294"/>
      <c r="D479" s="2294"/>
      <c r="E479" s="2294"/>
      <c r="F479" s="2294"/>
      <c r="G479" s="2294"/>
      <c r="H479" s="2294"/>
      <c r="I479" s="2294"/>
      <c r="J479" s="2294"/>
      <c r="K479" s="2294"/>
      <c r="L479" s="2294"/>
      <c r="M479" s="2294"/>
      <c r="N479" s="2294"/>
      <c r="O479" s="2294"/>
      <c r="P479" s="2294"/>
      <c r="Q479" s="2294"/>
      <c r="R479" s="2294"/>
      <c r="S479" s="2294"/>
      <c r="T479" s="2294"/>
      <c r="U479" s="2294"/>
      <c r="V479" s="2294"/>
      <c r="W479" s="2294"/>
      <c r="X479" s="2294"/>
      <c r="Y479" s="2294"/>
      <c r="Z479" s="2294"/>
      <c r="AA479" s="2294"/>
      <c r="AB479" s="2294"/>
      <c r="AC479" s="2294"/>
      <c r="AD479" s="2294"/>
      <c r="AE479" s="2294"/>
      <c r="AF479" s="2294"/>
      <c r="AG479" s="2294"/>
      <c r="AH479" s="2294"/>
      <c r="AI479" s="2294"/>
      <c r="AJ479" s="2294"/>
      <c r="AK479" s="2294"/>
      <c r="AL479" s="229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00"/>
      <c r="F483" s="801"/>
      <c r="G483" s="801"/>
      <c r="H483" s="801"/>
      <c r="I483" s="801"/>
      <c r="J483" s="801"/>
      <c r="K483" s="801"/>
      <c r="L483" s="801"/>
      <c r="M483" s="801"/>
      <c r="N483" s="801"/>
      <c r="O483" s="801"/>
      <c r="P483" s="801"/>
      <c r="Q483" s="801"/>
      <c r="R483" s="801"/>
      <c r="S483" s="802"/>
      <c r="T483" s="2419" t="s">
        <v>874</v>
      </c>
      <c r="U483" s="2402"/>
      <c r="V483" s="2402"/>
      <c r="W483" s="2402"/>
      <c r="X483" s="2402"/>
      <c r="Y483" s="2402"/>
      <c r="Z483" s="2402"/>
      <c r="AA483" s="2402"/>
      <c r="AB483" s="2402"/>
      <c r="AC483" s="2402"/>
      <c r="AD483" s="2402"/>
      <c r="AE483" s="2402"/>
      <c r="AF483" s="2402"/>
      <c r="AG483" s="2402"/>
      <c r="AH483" s="240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03"/>
      <c r="F484" s="682"/>
      <c r="G484" s="682"/>
      <c r="H484" s="682"/>
      <c r="I484" s="682"/>
      <c r="J484" s="682"/>
      <c r="K484" s="682"/>
      <c r="L484" s="682"/>
      <c r="M484" s="682"/>
      <c r="N484" s="682"/>
      <c r="O484" s="682"/>
      <c r="P484" s="682"/>
      <c r="Q484" s="682"/>
      <c r="R484" s="682"/>
      <c r="S484" s="804"/>
      <c r="T484" s="2324" t="s">
        <v>36</v>
      </c>
      <c r="U484" s="2324"/>
      <c r="V484" s="2324"/>
      <c r="W484" s="2324"/>
      <c r="X484" s="2324"/>
      <c r="Y484" s="2324" t="s">
        <v>37</v>
      </c>
      <c r="Z484" s="2324"/>
      <c r="AA484" s="2324"/>
      <c r="AB484" s="2324"/>
      <c r="AC484" s="2324"/>
      <c r="AD484" s="2324" t="s">
        <v>350</v>
      </c>
      <c r="AE484" s="2324"/>
      <c r="AF484" s="2324"/>
      <c r="AG484" s="2324"/>
      <c r="AH484" s="232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05"/>
      <c r="F485" s="806"/>
      <c r="G485" s="806"/>
      <c r="H485" s="806"/>
      <c r="I485" s="806"/>
      <c r="J485" s="806"/>
      <c r="K485" s="806"/>
      <c r="L485" s="806"/>
      <c r="M485" s="806"/>
      <c r="N485" s="806"/>
      <c r="O485" s="806"/>
      <c r="P485" s="806"/>
      <c r="Q485" s="806"/>
      <c r="R485" s="806"/>
      <c r="S485" s="807"/>
      <c r="T485" s="2324"/>
      <c r="U485" s="2324"/>
      <c r="V485" s="2324"/>
      <c r="W485" s="2324"/>
      <c r="X485" s="2324"/>
      <c r="Y485" s="2324"/>
      <c r="Z485" s="2324"/>
      <c r="AA485" s="2324"/>
      <c r="AB485" s="2324"/>
      <c r="AC485" s="2324"/>
      <c r="AD485" s="2324"/>
      <c r="AE485" s="2324"/>
      <c r="AF485" s="2324"/>
      <c r="AG485" s="2324"/>
      <c r="AH485" s="232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323">
        <v>0</v>
      </c>
      <c r="U486" s="2323"/>
      <c r="V486" s="2323"/>
      <c r="W486" s="2323"/>
      <c r="X486" s="2323"/>
      <c r="Y486" s="2323">
        <v>0</v>
      </c>
      <c r="Z486" s="2323"/>
      <c r="AA486" s="2323"/>
      <c r="AB486" s="2323"/>
      <c r="AC486" s="2323"/>
      <c r="AD486" s="2323">
        <v>38629</v>
      </c>
      <c r="AE486" s="2323"/>
      <c r="AF486" s="2323"/>
      <c r="AG486" s="2323"/>
      <c r="AH486" s="232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323">
        <v>0</v>
      </c>
      <c r="U487" s="2323"/>
      <c r="V487" s="2323"/>
      <c r="W487" s="2323"/>
      <c r="X487" s="2323"/>
      <c r="Y487" s="2323">
        <v>44286</v>
      </c>
      <c r="Z487" s="2323"/>
      <c r="AA487" s="2323"/>
      <c r="AB487" s="2323"/>
      <c r="AC487" s="2323"/>
      <c r="AD487" s="2323">
        <v>0</v>
      </c>
      <c r="AE487" s="2323"/>
      <c r="AF487" s="2323"/>
      <c r="AG487" s="2323"/>
      <c r="AH487" s="232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323" t="s">
        <v>628</v>
      </c>
      <c r="U488" s="2323"/>
      <c r="V488" s="2323"/>
      <c r="W488" s="2323"/>
      <c r="X488" s="2323"/>
      <c r="Y488" s="2323">
        <v>0</v>
      </c>
      <c r="Z488" s="2323"/>
      <c r="AA488" s="2323"/>
      <c r="AB488" s="2323"/>
      <c r="AC488" s="2323"/>
      <c r="AD488" s="2323">
        <v>0</v>
      </c>
      <c r="AE488" s="2323"/>
      <c r="AF488" s="2323"/>
      <c r="AG488" s="2323"/>
      <c r="AH488" s="232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323" t="s">
        <v>628</v>
      </c>
      <c r="U489" s="2323"/>
      <c r="V489" s="2323"/>
      <c r="W489" s="2323"/>
      <c r="X489" s="2323"/>
      <c r="Y489" s="2323">
        <v>0</v>
      </c>
      <c r="Z489" s="2323"/>
      <c r="AA489" s="2323"/>
      <c r="AB489" s="2323"/>
      <c r="AC489" s="2323"/>
      <c r="AD489" s="2323">
        <v>0</v>
      </c>
      <c r="AE489" s="2323"/>
      <c r="AF489" s="2323"/>
      <c r="AG489" s="2323"/>
      <c r="AH489" s="232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323" t="s">
        <v>628</v>
      </c>
      <c r="U490" s="2323"/>
      <c r="V490" s="2323"/>
      <c r="W490" s="2323"/>
      <c r="X490" s="2323"/>
      <c r="Y490" s="2323">
        <v>0</v>
      </c>
      <c r="Z490" s="2323"/>
      <c r="AA490" s="2323"/>
      <c r="AB490" s="2323"/>
      <c r="AC490" s="2323"/>
      <c r="AD490" s="2323">
        <v>0</v>
      </c>
      <c r="AE490" s="2323"/>
      <c r="AF490" s="2323"/>
      <c r="AG490" s="2323"/>
      <c r="AH490" s="232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323">
        <v>43880</v>
      </c>
      <c r="U491" s="2323"/>
      <c r="V491" s="2323"/>
      <c r="W491" s="2323"/>
      <c r="X491" s="2323"/>
      <c r="Y491" s="2323">
        <v>0</v>
      </c>
      <c r="Z491" s="2323"/>
      <c r="AA491" s="2323"/>
      <c r="AB491" s="2323"/>
      <c r="AC491" s="2323"/>
      <c r="AD491" s="2323">
        <v>43991</v>
      </c>
      <c r="AE491" s="2323"/>
      <c r="AF491" s="2323"/>
      <c r="AG491" s="2323"/>
      <c r="AH491" s="232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323">
        <v>0</v>
      </c>
      <c r="U492" s="2323"/>
      <c r="V492" s="2323"/>
      <c r="W492" s="2323"/>
      <c r="X492" s="2323"/>
      <c r="Y492" s="2323">
        <v>0</v>
      </c>
      <c r="Z492" s="2323"/>
      <c r="AA492" s="2323"/>
      <c r="AB492" s="2323"/>
      <c r="AC492" s="2323"/>
      <c r="AD492" s="2323">
        <v>38629</v>
      </c>
      <c r="AE492" s="2323"/>
      <c r="AF492" s="2323"/>
      <c r="AG492" s="2323"/>
      <c r="AH492" s="232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323" t="s">
        <v>628</v>
      </c>
      <c r="U493" s="2323"/>
      <c r="V493" s="2323"/>
      <c r="W493" s="2323"/>
      <c r="X493" s="2323"/>
      <c r="Y493" s="2323">
        <v>0</v>
      </c>
      <c r="Z493" s="2323"/>
      <c r="AA493" s="2323"/>
      <c r="AB493" s="2323"/>
      <c r="AC493" s="2323"/>
      <c r="AD493" s="2323">
        <v>0</v>
      </c>
      <c r="AE493" s="2323"/>
      <c r="AF493" s="2323"/>
      <c r="AG493" s="2323"/>
      <c r="AH493" s="232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323" t="s">
        <v>628</v>
      </c>
      <c r="U494" s="2323"/>
      <c r="V494" s="2323"/>
      <c r="W494" s="2323"/>
      <c r="X494" s="2323"/>
      <c r="Y494" s="2323">
        <v>0</v>
      </c>
      <c r="Z494" s="2323"/>
      <c r="AA494" s="2323"/>
      <c r="AB494" s="2323"/>
      <c r="AC494" s="2323"/>
      <c r="AD494" s="2323">
        <v>0</v>
      </c>
      <c r="AE494" s="2323"/>
      <c r="AF494" s="2323"/>
      <c r="AG494" s="2323"/>
      <c r="AH494" s="232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323">
        <v>44347</v>
      </c>
      <c r="U495" s="2323"/>
      <c r="V495" s="2323"/>
      <c r="W495" s="2323"/>
      <c r="X495" s="2323"/>
      <c r="Y495" s="2323">
        <v>44408</v>
      </c>
      <c r="Z495" s="2323"/>
      <c r="AA495" s="2323"/>
      <c r="AB495" s="2323"/>
      <c r="AC495" s="2323"/>
      <c r="AD495" s="2323">
        <v>0</v>
      </c>
      <c r="AE495" s="2323"/>
      <c r="AF495" s="2323"/>
      <c r="AG495" s="2323"/>
      <c r="AH495" s="232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326" t="s">
        <v>416</v>
      </c>
      <c r="R497" s="2327"/>
      <c r="S497" s="2327"/>
      <c r="T497" s="2327"/>
      <c r="U497" s="2327"/>
      <c r="V497" s="2327"/>
      <c r="W497" s="2327"/>
      <c r="X497" s="2327"/>
      <c r="Y497" s="2327"/>
      <c r="Z497" s="2327"/>
      <c r="AA497" s="2327"/>
      <c r="AB497" s="2327"/>
      <c r="AC497" s="2327"/>
      <c r="AD497" s="2327"/>
      <c r="AE497" s="2327"/>
      <c r="AF497" s="2327"/>
      <c r="AG497" s="2327"/>
      <c r="AH497" s="2327"/>
      <c r="AI497" s="2327"/>
      <c r="AJ497" s="2327"/>
      <c r="AK497" s="232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266" t="s">
        <v>2544</v>
      </c>
      <c r="R498" s="2162"/>
      <c r="S498" s="2162"/>
      <c r="T498" s="2162"/>
      <c r="U498" s="2162"/>
      <c r="V498" s="2162"/>
      <c r="W498" s="2162"/>
      <c r="X498" s="2162"/>
      <c r="Y498" s="2162"/>
      <c r="Z498" s="2162"/>
      <c r="AA498" s="2162"/>
      <c r="AB498" s="2162"/>
      <c r="AC498" s="2162"/>
      <c r="AD498" s="2162"/>
      <c r="AE498" s="2162"/>
      <c r="AF498" s="2162"/>
      <c r="AG498" s="2162"/>
      <c r="AH498" s="2162"/>
      <c r="AI498" s="2162"/>
      <c r="AJ498" s="2162"/>
      <c r="AK498" s="226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266" t="s">
        <v>2544</v>
      </c>
      <c r="R499" s="2162"/>
      <c r="S499" s="2162"/>
      <c r="T499" s="2162"/>
      <c r="U499" s="2162"/>
      <c r="V499" s="2162"/>
      <c r="W499" s="2162"/>
      <c r="X499" s="2162"/>
      <c r="Y499" s="2162"/>
      <c r="Z499" s="2162"/>
      <c r="AA499" s="2162"/>
      <c r="AB499" s="2162"/>
      <c r="AC499" s="2162"/>
      <c r="AD499" s="2162"/>
      <c r="AE499" s="2162"/>
      <c r="AF499" s="2162"/>
      <c r="AG499" s="2162"/>
      <c r="AH499" s="2162"/>
      <c r="AI499" s="2162"/>
      <c r="AJ499" s="2162"/>
      <c r="AK499" s="226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266" t="s">
        <v>2544</v>
      </c>
      <c r="R500" s="2162"/>
      <c r="S500" s="2162"/>
      <c r="T500" s="2162"/>
      <c r="U500" s="2162"/>
      <c r="V500" s="2162"/>
      <c r="W500" s="2162"/>
      <c r="X500" s="2162"/>
      <c r="Y500" s="2162"/>
      <c r="Z500" s="2162"/>
      <c r="AA500" s="2162"/>
      <c r="AB500" s="2162"/>
      <c r="AC500" s="2162"/>
      <c r="AD500" s="2162"/>
      <c r="AE500" s="2162"/>
      <c r="AF500" s="2162"/>
      <c r="AG500" s="2162"/>
      <c r="AH500" s="2162"/>
      <c r="AI500" s="2162"/>
      <c r="AJ500" s="2162"/>
      <c r="AK500" s="226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08" t="s">
        <v>420</v>
      </c>
      <c r="C501" s="2409"/>
      <c r="D501" s="2409"/>
      <c r="E501" s="2409"/>
      <c r="F501" s="2409"/>
      <c r="G501" s="2409"/>
      <c r="H501" s="2409"/>
      <c r="I501" s="2409"/>
      <c r="J501" s="2409"/>
      <c r="K501" s="2409"/>
      <c r="L501" s="2409"/>
      <c r="M501" s="2409"/>
      <c r="N501" s="2409"/>
      <c r="O501" s="2409"/>
      <c r="P501" s="2410"/>
      <c r="Q501" s="2404" t="s">
        <v>708</v>
      </c>
      <c r="R501" s="2405"/>
      <c r="S501" s="2183" t="s">
        <v>171</v>
      </c>
      <c r="T501" s="2184"/>
      <c r="U501" s="2184"/>
      <c r="V501" s="2184"/>
      <c r="W501" s="2184"/>
      <c r="X501" s="2184"/>
      <c r="Y501" s="2184"/>
      <c r="Z501" s="2184"/>
      <c r="AA501" s="2184"/>
      <c r="AB501" s="2184"/>
      <c r="AC501" s="2184"/>
      <c r="AD501" s="2184"/>
      <c r="AE501" s="2184"/>
      <c r="AF501" s="2184"/>
      <c r="AG501" s="2184"/>
      <c r="AH501" s="2184"/>
      <c r="AI501" s="2184"/>
      <c r="AJ501" s="2184"/>
      <c r="AK501" s="218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11"/>
      <c r="C502" s="2412"/>
      <c r="D502" s="2412"/>
      <c r="E502" s="2412"/>
      <c r="F502" s="2412"/>
      <c r="G502" s="2412"/>
      <c r="H502" s="2412"/>
      <c r="I502" s="2412"/>
      <c r="J502" s="2412"/>
      <c r="K502" s="2412"/>
      <c r="L502" s="2412"/>
      <c r="M502" s="2412"/>
      <c r="N502" s="2412"/>
      <c r="O502" s="2412"/>
      <c r="P502" s="2413"/>
      <c r="Q502" s="2406"/>
      <c r="R502" s="2407"/>
      <c r="S502" s="2186"/>
      <c r="T502" s="2187"/>
      <c r="U502" s="2187"/>
      <c r="V502" s="2187"/>
      <c r="W502" s="2187"/>
      <c r="X502" s="2187"/>
      <c r="Y502" s="2187"/>
      <c r="Z502" s="2187"/>
      <c r="AA502" s="2187"/>
      <c r="AB502" s="2187"/>
      <c r="AC502" s="2187"/>
      <c r="AD502" s="2187"/>
      <c r="AE502" s="2187"/>
      <c r="AF502" s="2187"/>
      <c r="AG502" s="2187"/>
      <c r="AH502" s="2187"/>
      <c r="AI502" s="2187"/>
      <c r="AJ502" s="2187"/>
      <c r="AK502" s="218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444" t="s">
        <v>2046</v>
      </c>
      <c r="C503" s="1412"/>
      <c r="D503" s="1412"/>
      <c r="E503" s="1412"/>
      <c r="F503" s="1412"/>
      <c r="G503" s="1412"/>
      <c r="H503" s="1412"/>
      <c r="I503" s="1412"/>
      <c r="J503" s="1412"/>
      <c r="K503" s="1412"/>
      <c r="L503" s="1412"/>
      <c r="M503" s="1412"/>
      <c r="N503" s="1412"/>
      <c r="O503" s="1412"/>
      <c r="P503" s="1412"/>
      <c r="Q503" s="2446" t="s">
        <v>580</v>
      </c>
      <c r="R503" s="2447"/>
      <c r="S503" s="2447"/>
      <c r="T503" s="2447"/>
      <c r="U503" s="2447"/>
      <c r="V503" s="2447"/>
      <c r="W503" s="2447"/>
      <c r="X503" s="2447"/>
      <c r="Y503" s="2447"/>
      <c r="Z503" s="2447"/>
      <c r="AA503" s="2447"/>
      <c r="AB503" s="2447"/>
      <c r="AC503" s="2447"/>
      <c r="AD503" s="2447"/>
      <c r="AE503" s="2447"/>
      <c r="AF503" s="2447"/>
      <c r="AG503" s="2447"/>
      <c r="AH503" s="2447"/>
      <c r="AI503" s="2447"/>
      <c r="AJ503" s="2447"/>
      <c r="AK503" s="244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266" t="s">
        <v>2544</v>
      </c>
      <c r="R504" s="2162"/>
      <c r="S504" s="2162"/>
      <c r="T504" s="2162"/>
      <c r="U504" s="2162"/>
      <c r="V504" s="2162"/>
      <c r="W504" s="2162"/>
      <c r="X504" s="2162"/>
      <c r="Y504" s="2162"/>
      <c r="Z504" s="2162"/>
      <c r="AA504" s="2162"/>
      <c r="AB504" s="2162"/>
      <c r="AC504" s="2162"/>
      <c r="AD504" s="2162"/>
      <c r="AE504" s="2162"/>
      <c r="AF504" s="2162"/>
      <c r="AG504" s="2162"/>
      <c r="AH504" s="2162"/>
      <c r="AI504" s="2162"/>
      <c r="AJ504" s="2162"/>
      <c r="AK504" s="226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266" t="s">
        <v>2545</v>
      </c>
      <c r="R505" s="2162"/>
      <c r="S505" s="2162"/>
      <c r="T505" s="2162"/>
      <c r="U505" s="2162"/>
      <c r="V505" s="2162"/>
      <c r="W505" s="2162"/>
      <c r="X505" s="2162"/>
      <c r="Y505" s="2162"/>
      <c r="Z505" s="2162"/>
      <c r="AA505" s="2162"/>
      <c r="AB505" s="2162"/>
      <c r="AC505" s="2162"/>
      <c r="AD505" s="2162"/>
      <c r="AE505" s="2162"/>
      <c r="AF505" s="2162"/>
      <c r="AG505" s="2162"/>
      <c r="AH505" s="2162"/>
      <c r="AI505" s="2162"/>
      <c r="AJ505" s="2162"/>
      <c r="AK505" s="226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2043</v>
      </c>
      <c r="C506" s="77"/>
      <c r="D506" s="77"/>
      <c r="E506" s="77"/>
      <c r="F506" s="77"/>
      <c r="G506" s="77"/>
      <c r="H506" s="77"/>
      <c r="I506" s="77"/>
      <c r="J506" s="77"/>
      <c r="K506" s="77"/>
      <c r="L506" s="77"/>
      <c r="M506" s="77"/>
      <c r="N506" s="77"/>
      <c r="O506" s="77"/>
      <c r="P506" s="77"/>
      <c r="Q506" s="2266">
        <v>134</v>
      </c>
      <c r="R506" s="2162"/>
      <c r="S506" s="2162"/>
      <c r="T506" s="2162"/>
      <c r="U506" s="2162"/>
      <c r="V506" s="2162"/>
      <c r="W506" s="2162"/>
      <c r="X506" s="2162"/>
      <c r="Y506" s="2162"/>
      <c r="Z506" s="2162"/>
      <c r="AA506" s="2162"/>
      <c r="AB506" s="2162"/>
      <c r="AC506" s="2162"/>
      <c r="AD506" s="2162"/>
      <c r="AE506" s="2162"/>
      <c r="AF506" s="2162"/>
      <c r="AG506" s="2162"/>
      <c r="AH506" s="2162"/>
      <c r="AI506" s="2162"/>
      <c r="AJ506" s="2162"/>
      <c r="AK506" s="226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2044</v>
      </c>
      <c r="C507" s="77"/>
      <c r="D507" s="77"/>
      <c r="E507" s="77"/>
      <c r="F507" s="77"/>
      <c r="G507" s="77"/>
      <c r="H507" s="77"/>
      <c r="I507" s="77"/>
      <c r="J507" s="77"/>
      <c r="K507" s="77"/>
      <c r="L507" s="77"/>
      <c r="M507" s="2158">
        <v>30</v>
      </c>
      <c r="N507" s="2159"/>
      <c r="O507" s="2159"/>
      <c r="P507" s="2160"/>
      <c r="Q507" s="1442" t="s">
        <v>2045</v>
      </c>
      <c r="R507" s="1443"/>
      <c r="S507" s="1443"/>
      <c r="T507" s="1443"/>
      <c r="U507" s="1443"/>
      <c r="V507" s="1443"/>
      <c r="W507" s="1443"/>
      <c r="X507" s="1443"/>
      <c r="Y507" s="1443"/>
      <c r="Z507" s="1443"/>
      <c r="AA507" s="1443"/>
      <c r="AB507" s="1443"/>
      <c r="AC507" s="1443"/>
      <c r="AD507" s="1443"/>
      <c r="AE507" s="1443"/>
      <c r="AF507" s="1443"/>
      <c r="AG507" s="1443"/>
      <c r="AH507" s="2158">
        <v>104</v>
      </c>
      <c r="AI507" s="2159"/>
      <c r="AJ507" s="2159"/>
      <c r="AK507" s="216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841"/>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835"/>
      <c r="C510" s="845"/>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326" t="s">
        <v>424</v>
      </c>
      <c r="AD511" s="2327"/>
      <c r="AE511" s="2327"/>
      <c r="AF511" s="2327"/>
      <c r="AG511" s="2327"/>
      <c r="AH511" s="2327"/>
      <c r="AI511" s="2327"/>
      <c r="AJ511" s="2327"/>
      <c r="AK511" s="232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19" t="s">
        <v>425</v>
      </c>
      <c r="AD512" s="2402"/>
      <c r="AE512" s="2402"/>
      <c r="AF512" s="2402"/>
      <c r="AG512" s="82" t="s">
        <v>426</v>
      </c>
      <c r="AH512" s="2402" t="s">
        <v>427</v>
      </c>
      <c r="AI512" s="2402"/>
      <c r="AJ512" s="2402"/>
      <c r="AK512" s="240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339" t="s">
        <v>428</v>
      </c>
      <c r="C513" s="2340"/>
      <c r="D513" s="2340"/>
      <c r="E513" s="2340"/>
      <c r="F513" s="2340"/>
      <c r="G513" s="2340"/>
      <c r="H513" s="2341"/>
      <c r="I513" s="72" t="s">
        <v>429</v>
      </c>
      <c r="J513" s="72"/>
      <c r="K513" s="72"/>
      <c r="L513" s="72"/>
      <c r="M513" s="72"/>
      <c r="N513" s="72"/>
      <c r="O513" s="72"/>
      <c r="P513" s="72"/>
      <c r="Q513" s="72"/>
      <c r="R513" s="72"/>
      <c r="S513" s="72"/>
      <c r="T513" s="72"/>
      <c r="U513" s="72"/>
      <c r="V513" s="72"/>
      <c r="W513" s="72"/>
      <c r="X513" s="25"/>
      <c r="Y513" s="25"/>
      <c r="AC513" s="2325">
        <v>10</v>
      </c>
      <c r="AD513" s="2128"/>
      <c r="AE513" s="2128"/>
      <c r="AF513" s="2128"/>
      <c r="AG513" s="75" t="s">
        <v>426</v>
      </c>
      <c r="AH513" s="2191">
        <v>2005</v>
      </c>
      <c r="AI513" s="2191"/>
      <c r="AJ513" s="2191"/>
      <c r="AK513" s="219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342"/>
      <c r="C514" s="2343"/>
      <c r="D514" s="2343"/>
      <c r="E514" s="2343"/>
      <c r="F514" s="2343"/>
      <c r="G514" s="2343"/>
      <c r="H514" s="2344"/>
      <c r="I514" s="80" t="s">
        <v>430</v>
      </c>
      <c r="J514" s="80"/>
      <c r="K514" s="80"/>
      <c r="L514" s="80"/>
      <c r="M514" s="80"/>
      <c r="N514" s="80"/>
      <c r="O514" s="80"/>
      <c r="P514" s="80"/>
      <c r="Q514" s="80"/>
      <c r="R514" s="80"/>
      <c r="S514" s="80"/>
      <c r="T514" s="80"/>
      <c r="U514" s="80"/>
      <c r="V514" s="80"/>
      <c r="W514" s="80"/>
      <c r="X514" s="80"/>
      <c r="Y514" s="80"/>
      <c r="Z514" s="80"/>
      <c r="AA514" s="80"/>
      <c r="AB514" s="80"/>
      <c r="AC514" s="2325">
        <v>2</v>
      </c>
      <c r="AD514" s="2128"/>
      <c r="AE514" s="2128"/>
      <c r="AF514" s="2128"/>
      <c r="AG514" s="65" t="s">
        <v>426</v>
      </c>
      <c r="AH514" s="2191">
        <v>2022</v>
      </c>
      <c r="AI514" s="2191"/>
      <c r="AJ514" s="2191"/>
      <c r="AK514" s="219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339" t="s">
        <v>431</v>
      </c>
      <c r="C515" s="2340"/>
      <c r="D515" s="2340"/>
      <c r="E515" s="2340"/>
      <c r="F515" s="2340"/>
      <c r="G515" s="2340"/>
      <c r="H515" s="2341"/>
      <c r="I515" s="72" t="s">
        <v>432</v>
      </c>
      <c r="J515" s="72"/>
      <c r="K515" s="72"/>
      <c r="L515" s="72"/>
      <c r="M515" s="72"/>
      <c r="N515" s="72"/>
      <c r="O515" s="72"/>
      <c r="P515" s="72"/>
      <c r="Q515" s="72"/>
      <c r="R515" s="72"/>
      <c r="S515" s="72"/>
      <c r="T515" s="72"/>
      <c r="U515" s="72"/>
      <c r="V515" s="72"/>
      <c r="W515" s="72"/>
      <c r="X515" s="25"/>
      <c r="Y515" s="25"/>
      <c r="AC515" s="2325" t="s">
        <v>628</v>
      </c>
      <c r="AD515" s="2128"/>
      <c r="AE515" s="2128"/>
      <c r="AF515" s="2128"/>
      <c r="AG515" s="75" t="s">
        <v>426</v>
      </c>
      <c r="AH515" s="2191"/>
      <c r="AI515" s="2191"/>
      <c r="AJ515" s="2191"/>
      <c r="AK515" s="219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342"/>
      <c r="C516" s="2343"/>
      <c r="D516" s="2343"/>
      <c r="E516" s="2343"/>
      <c r="F516" s="2343"/>
      <c r="G516" s="2343"/>
      <c r="H516" s="2344"/>
      <c r="I516" s="25" t="s">
        <v>433</v>
      </c>
      <c r="J516" s="25"/>
      <c r="K516" s="25"/>
      <c r="L516" s="25"/>
      <c r="M516" s="25"/>
      <c r="N516" s="25"/>
      <c r="O516" s="25"/>
      <c r="P516" s="25"/>
      <c r="Q516" s="25"/>
      <c r="R516" s="25"/>
      <c r="S516" s="25"/>
      <c r="T516" s="25"/>
      <c r="U516" s="25"/>
      <c r="V516" s="25"/>
      <c r="W516" s="25"/>
      <c r="X516" s="25"/>
      <c r="Y516" s="25"/>
      <c r="AC516" s="2325" t="s">
        <v>628</v>
      </c>
      <c r="AD516" s="2128"/>
      <c r="AE516" s="2128"/>
      <c r="AF516" s="2128"/>
      <c r="AG516" s="75" t="s">
        <v>426</v>
      </c>
      <c r="AH516" s="2191"/>
      <c r="AI516" s="2191"/>
      <c r="AJ516" s="2191"/>
      <c r="AK516" s="219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342"/>
      <c r="C517" s="2343"/>
      <c r="D517" s="2343"/>
      <c r="E517" s="2343"/>
      <c r="F517" s="2343"/>
      <c r="G517" s="2343"/>
      <c r="H517" s="2344"/>
      <c r="I517" s="25" t="s">
        <v>434</v>
      </c>
      <c r="J517" s="25"/>
      <c r="K517" s="25"/>
      <c r="L517" s="25"/>
      <c r="M517" s="25"/>
      <c r="N517" s="25"/>
      <c r="O517" s="25"/>
      <c r="P517" s="25"/>
      <c r="Q517" s="25"/>
      <c r="R517" s="25"/>
      <c r="S517" s="25"/>
      <c r="T517" s="25"/>
      <c r="U517" s="25"/>
      <c r="V517" s="25"/>
      <c r="W517" s="25"/>
      <c r="X517" s="25"/>
      <c r="Y517" s="25"/>
      <c r="AC517" s="2325">
        <v>7</v>
      </c>
      <c r="AD517" s="2128"/>
      <c r="AE517" s="2128"/>
      <c r="AF517" s="2128"/>
      <c r="AG517" s="75" t="s">
        <v>426</v>
      </c>
      <c r="AH517" s="2191">
        <v>2021</v>
      </c>
      <c r="AI517" s="2191"/>
      <c r="AJ517" s="2191"/>
      <c r="AK517" s="219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342"/>
      <c r="C518" s="2343"/>
      <c r="D518" s="2343"/>
      <c r="E518" s="2343"/>
      <c r="F518" s="2343"/>
      <c r="G518" s="2343"/>
      <c r="H518" s="2344"/>
      <c r="I518" s="25" t="s">
        <v>435</v>
      </c>
      <c r="J518" s="25"/>
      <c r="K518" s="25"/>
      <c r="L518" s="25"/>
      <c r="M518" s="25"/>
      <c r="N518" s="25"/>
      <c r="O518" s="25"/>
      <c r="P518" s="25"/>
      <c r="Q518" s="25"/>
      <c r="R518" s="25"/>
      <c r="S518" s="25"/>
      <c r="T518" s="25"/>
      <c r="U518" s="25"/>
      <c r="V518" s="25"/>
      <c r="W518" s="25"/>
      <c r="X518" s="25"/>
      <c r="Y518" s="25"/>
      <c r="AC518" s="2325">
        <v>8</v>
      </c>
      <c r="AD518" s="2128"/>
      <c r="AE518" s="2128"/>
      <c r="AF518" s="2128"/>
      <c r="AG518" s="75" t="s">
        <v>426</v>
      </c>
      <c r="AH518" s="2191">
        <v>2022</v>
      </c>
      <c r="AI518" s="2191"/>
      <c r="AJ518" s="2191"/>
      <c r="AK518" s="219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342"/>
      <c r="C519" s="2343"/>
      <c r="D519" s="2343"/>
      <c r="E519" s="2343"/>
      <c r="F519" s="2343"/>
      <c r="G519" s="2343"/>
      <c r="H519" s="2344"/>
      <c r="I519" s="177" t="s">
        <v>436</v>
      </c>
      <c r="J519" s="25"/>
      <c r="K519" s="25"/>
      <c r="L519" s="25"/>
      <c r="M519" s="25"/>
      <c r="N519" s="25"/>
      <c r="O519" s="25"/>
      <c r="P519" s="25"/>
      <c r="Q519" s="25"/>
      <c r="R519" s="25"/>
      <c r="S519" s="25"/>
      <c r="T519" s="25"/>
      <c r="U519" s="25"/>
      <c r="V519" s="25"/>
      <c r="W519" s="25"/>
      <c r="X519" s="25"/>
      <c r="Y519" s="25"/>
      <c r="AC519" s="2101">
        <v>8</v>
      </c>
      <c r="AD519" s="2102"/>
      <c r="AE519" s="2102"/>
      <c r="AF519" s="2102"/>
      <c r="AG519" s="75" t="s">
        <v>426</v>
      </c>
      <c r="AH519" s="2191">
        <v>2022</v>
      </c>
      <c r="AI519" s="2191"/>
      <c r="AJ519" s="2191"/>
      <c r="AK519" s="219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342"/>
      <c r="C520" s="2343"/>
      <c r="D520" s="2343"/>
      <c r="E520" s="2343"/>
      <c r="F520" s="2343"/>
      <c r="G520" s="2343"/>
      <c r="H520" s="2344"/>
      <c r="I520" s="1445" t="s">
        <v>175</v>
      </c>
      <c r="J520" s="80"/>
      <c r="K520" s="80"/>
      <c r="L520" s="2442" t="s">
        <v>345</v>
      </c>
      <c r="M520" s="2387"/>
      <c r="N520" s="2387"/>
      <c r="O520" s="2387"/>
      <c r="P520" s="2387"/>
      <c r="Q520" s="2387"/>
      <c r="R520" s="2387"/>
      <c r="S520" s="2387"/>
      <c r="T520" s="2387"/>
      <c r="U520" s="2387"/>
      <c r="V520" s="2387"/>
      <c r="W520" s="2387"/>
      <c r="X520" s="2387"/>
      <c r="Y520" s="2387"/>
      <c r="Z520" s="2387"/>
      <c r="AA520" s="2387"/>
      <c r="AB520" s="2443"/>
      <c r="AC520" s="2325" t="s">
        <v>628</v>
      </c>
      <c r="AD520" s="2128"/>
      <c r="AE520" s="2128"/>
      <c r="AF520" s="2128"/>
      <c r="AG520" s="1416" t="s">
        <v>426</v>
      </c>
      <c r="AH520" s="2191"/>
      <c r="AI520" s="2191"/>
      <c r="AJ520" s="2191"/>
      <c r="AK520" s="219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07"/>
      <c r="C521" s="1408"/>
      <c r="D521" s="1408"/>
      <c r="E521" s="1408"/>
      <c r="F521" s="1408"/>
      <c r="G521" s="1408"/>
      <c r="H521" s="1409"/>
      <c r="I521" s="240" t="s">
        <v>2050</v>
      </c>
      <c r="J521" s="25"/>
      <c r="K521" s="25"/>
      <c r="L521" s="25"/>
      <c r="M521" s="25"/>
      <c r="N521" s="25"/>
      <c r="O521" s="25"/>
      <c r="P521" s="25"/>
      <c r="Q521" s="25"/>
      <c r="R521" s="25"/>
      <c r="S521" s="25"/>
      <c r="T521" s="25"/>
      <c r="U521" s="25"/>
      <c r="V521" s="25"/>
      <c r="W521" s="25"/>
      <c r="X521" s="25"/>
      <c r="Y521" s="25"/>
      <c r="AC521" s="2400" t="s">
        <v>580</v>
      </c>
      <c r="AD521" s="2400"/>
      <c r="AE521" s="2400"/>
      <c r="AF521" s="2400"/>
      <c r="AG521" s="1648"/>
      <c r="AH521" s="2429"/>
      <c r="AI521" s="2429"/>
      <c r="AJ521" s="2429"/>
      <c r="AK521" s="243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07"/>
      <c r="C522" s="1408"/>
      <c r="D522" s="1408"/>
      <c r="E522" s="1408"/>
      <c r="F522" s="1408"/>
      <c r="G522" s="1408"/>
      <c r="H522" s="1409"/>
      <c r="I522" s="688" t="s">
        <v>2047</v>
      </c>
      <c r="J522" s="25"/>
      <c r="K522" s="25"/>
      <c r="L522" s="25"/>
      <c r="M522" s="25"/>
      <c r="N522" s="25"/>
      <c r="O522" s="25"/>
      <c r="P522" s="25"/>
      <c r="Q522" s="25"/>
      <c r="R522" s="25"/>
      <c r="S522" s="25"/>
      <c r="T522" s="25"/>
      <c r="U522" s="25"/>
      <c r="V522" s="25"/>
      <c r="W522" s="25"/>
      <c r="X522" s="25"/>
      <c r="Y522" s="25"/>
      <c r="AC522" s="2101">
        <v>2</v>
      </c>
      <c r="AD522" s="2102"/>
      <c r="AE522" s="2102"/>
      <c r="AF522" s="2103"/>
      <c r="AG522" s="1648"/>
      <c r="AH522" s="2429"/>
      <c r="AI522" s="2429"/>
      <c r="AJ522" s="2429"/>
      <c r="AK522" s="243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07"/>
      <c r="C523" s="1408"/>
      <c r="D523" s="1408"/>
      <c r="E523" s="1408"/>
      <c r="F523" s="1408"/>
      <c r="G523" s="1408"/>
      <c r="H523" s="1409"/>
      <c r="I523" s="688" t="s">
        <v>2048</v>
      </c>
      <c r="J523" s="25"/>
      <c r="K523" s="25"/>
      <c r="L523" s="25"/>
      <c r="M523" s="25"/>
      <c r="N523" s="25"/>
      <c r="O523" s="25"/>
      <c r="P523" s="25"/>
      <c r="Q523" s="25"/>
      <c r="R523" s="25"/>
      <c r="S523" s="25"/>
      <c r="T523" s="25"/>
      <c r="U523" s="25"/>
      <c r="V523" s="25"/>
      <c r="W523" s="25"/>
      <c r="X523" s="25"/>
      <c r="Y523" s="25"/>
      <c r="AC523" s="1434"/>
      <c r="AD523" s="1435"/>
      <c r="AE523" s="1435"/>
      <c r="AF523" s="1436"/>
      <c r="AG523" s="20"/>
      <c r="AH523" s="1645"/>
      <c r="AI523" s="1645"/>
      <c r="AJ523" s="1645"/>
      <c r="AK523" s="1646"/>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07"/>
      <c r="C524" s="1408"/>
      <c r="D524" s="1408"/>
      <c r="E524" s="1408"/>
      <c r="F524" s="1408"/>
      <c r="G524" s="1408"/>
      <c r="H524" s="1409"/>
      <c r="I524" s="1446" t="s">
        <v>2049</v>
      </c>
      <c r="J524" s="80"/>
      <c r="K524" s="80"/>
      <c r="L524" s="80"/>
      <c r="M524" s="80"/>
      <c r="N524" s="80"/>
      <c r="O524" s="80"/>
      <c r="P524" s="80"/>
      <c r="Q524" s="80"/>
      <c r="R524" s="80"/>
      <c r="S524" s="80"/>
      <c r="T524" s="80"/>
      <c r="U524" s="80"/>
      <c r="V524" s="80"/>
      <c r="W524" s="80"/>
      <c r="X524" s="80"/>
      <c r="Y524" s="80"/>
      <c r="Z524" s="80"/>
      <c r="AA524" s="80"/>
      <c r="AB524" s="80"/>
      <c r="AC524" s="2426">
        <v>1</v>
      </c>
      <c r="AD524" s="2427"/>
      <c r="AE524" s="2427"/>
      <c r="AF524" s="2428"/>
      <c r="AG524" s="1649"/>
      <c r="AH524" s="2454"/>
      <c r="AI524" s="2454"/>
      <c r="AJ524" s="2454"/>
      <c r="AK524" s="245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07"/>
      <c r="C525" s="1408"/>
      <c r="D525" s="1408"/>
      <c r="E525" s="1408"/>
      <c r="F525" s="1408"/>
      <c r="G525" s="1408"/>
      <c r="H525" s="1409"/>
      <c r="I525" s="177"/>
      <c r="J525" s="682"/>
      <c r="K525" s="682"/>
      <c r="L525" s="14"/>
      <c r="M525" s="14"/>
      <c r="N525" s="14"/>
      <c r="O525" s="14"/>
      <c r="P525" s="14"/>
      <c r="Q525" s="14"/>
      <c r="R525" s="14"/>
      <c r="S525" s="14"/>
      <c r="T525" s="14"/>
      <c r="U525" s="14"/>
      <c r="V525" s="14"/>
      <c r="W525" s="14"/>
      <c r="X525" s="1647"/>
      <c r="Y525" s="1647"/>
      <c r="Z525" s="1647"/>
      <c r="AA525" s="1647"/>
      <c r="AB525" s="1669"/>
      <c r="AC525" s="2440" t="s">
        <v>425</v>
      </c>
      <c r="AD525" s="2424"/>
      <c r="AE525" s="2424"/>
      <c r="AF525" s="2424"/>
      <c r="AG525" s="1649" t="s">
        <v>426</v>
      </c>
      <c r="AH525" s="2424" t="s">
        <v>427</v>
      </c>
      <c r="AI525" s="2424"/>
      <c r="AJ525" s="2424"/>
      <c r="AK525" s="242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339" t="s">
        <v>437</v>
      </c>
      <c r="C526" s="2340"/>
      <c r="D526" s="2340"/>
      <c r="E526" s="2340"/>
      <c r="F526" s="2340"/>
      <c r="G526" s="2340"/>
      <c r="H526" s="2341"/>
      <c r="I526" s="72" t="s">
        <v>438</v>
      </c>
      <c r="J526" s="72"/>
      <c r="K526" s="72"/>
      <c r="L526" s="72"/>
      <c r="M526" s="72"/>
      <c r="N526" s="72"/>
      <c r="O526" s="72"/>
      <c r="P526" s="72"/>
      <c r="Q526" s="72"/>
      <c r="R526" s="72"/>
      <c r="S526" s="72"/>
      <c r="T526" s="72"/>
      <c r="U526" s="72"/>
      <c r="V526" s="72"/>
      <c r="W526" s="72"/>
      <c r="X526" s="25"/>
      <c r="Y526" s="25"/>
      <c r="AC526" s="2325">
        <v>1</v>
      </c>
      <c r="AD526" s="2128"/>
      <c r="AE526" s="2128"/>
      <c r="AF526" s="2128"/>
      <c r="AG526" s="75" t="s">
        <v>426</v>
      </c>
      <c r="AH526" s="2191">
        <v>2021</v>
      </c>
      <c r="AI526" s="2191"/>
      <c r="AJ526" s="2191"/>
      <c r="AK526" s="219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9" customHeight="1">
      <c r="B527" s="2342"/>
      <c r="C527" s="2343"/>
      <c r="D527" s="2343"/>
      <c r="E527" s="2343"/>
      <c r="F527" s="2343"/>
      <c r="G527" s="2343"/>
      <c r="H527" s="2344"/>
      <c r="I527" s="25" t="s">
        <v>439</v>
      </c>
      <c r="J527" s="25"/>
      <c r="K527" s="25"/>
      <c r="L527" s="25"/>
      <c r="M527" s="25"/>
      <c r="N527" s="25"/>
      <c r="O527" s="25"/>
      <c r="P527" s="25"/>
      <c r="Q527" s="25"/>
      <c r="R527" s="25"/>
      <c r="S527" s="25"/>
      <c r="T527" s="25"/>
      <c r="U527" s="25"/>
      <c r="V527" s="25"/>
      <c r="W527" s="25"/>
      <c r="X527" s="25"/>
      <c r="Y527" s="25"/>
      <c r="AC527" s="2325">
        <v>1</v>
      </c>
      <c r="AD527" s="2128"/>
      <c r="AE527" s="2128"/>
      <c r="AF527" s="2128"/>
      <c r="AG527" s="75" t="s">
        <v>426</v>
      </c>
      <c r="AH527" s="2191">
        <v>2021</v>
      </c>
      <c r="AI527" s="2191"/>
      <c r="AJ527" s="2191"/>
      <c r="AK527" s="219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342"/>
      <c r="C528" s="2343"/>
      <c r="D528" s="2343"/>
      <c r="E528" s="2343"/>
      <c r="F528" s="2343"/>
      <c r="G528" s="2343"/>
      <c r="H528" s="2344"/>
      <c r="I528" s="80" t="s">
        <v>440</v>
      </c>
      <c r="J528" s="80"/>
      <c r="K528" s="80"/>
      <c r="L528" s="80"/>
      <c r="M528" s="80"/>
      <c r="N528" s="80"/>
      <c r="O528" s="80"/>
      <c r="P528" s="80"/>
      <c r="Q528" s="80"/>
      <c r="R528" s="80"/>
      <c r="S528" s="80"/>
      <c r="T528" s="80"/>
      <c r="U528" s="80"/>
      <c r="V528" s="80"/>
      <c r="W528" s="80"/>
      <c r="X528" s="80"/>
      <c r="Y528" s="80"/>
      <c r="Z528" s="80"/>
      <c r="AA528" s="80"/>
      <c r="AB528" s="80"/>
      <c r="AC528" s="2325">
        <v>2</v>
      </c>
      <c r="AD528" s="2128"/>
      <c r="AE528" s="2128"/>
      <c r="AF528" s="2128"/>
      <c r="AG528" s="65" t="s">
        <v>426</v>
      </c>
      <c r="AH528" s="2191">
        <v>2022</v>
      </c>
      <c r="AI528" s="2191"/>
      <c r="AJ528" s="2191"/>
      <c r="AK528" s="219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339" t="s">
        <v>441</v>
      </c>
      <c r="C529" s="2340"/>
      <c r="D529" s="2340"/>
      <c r="E529" s="2340"/>
      <c r="F529" s="2340"/>
      <c r="G529" s="2340"/>
      <c r="H529" s="2341"/>
      <c r="I529" s="72" t="s">
        <v>438</v>
      </c>
      <c r="J529" s="72"/>
      <c r="K529" s="72"/>
      <c r="L529" s="72"/>
      <c r="M529" s="72"/>
      <c r="N529" s="72"/>
      <c r="O529" s="72"/>
      <c r="P529" s="72"/>
      <c r="Q529" s="72"/>
      <c r="R529" s="72"/>
      <c r="S529" s="72"/>
      <c r="T529" s="72"/>
      <c r="U529" s="72"/>
      <c r="V529" s="72"/>
      <c r="W529" s="72"/>
      <c r="X529" s="72"/>
      <c r="Y529" s="72"/>
      <c r="Z529" s="72"/>
      <c r="AA529" s="72"/>
      <c r="AB529" s="72"/>
      <c r="AC529" s="2101">
        <v>1</v>
      </c>
      <c r="AD529" s="2102"/>
      <c r="AE529" s="2102"/>
      <c r="AF529" s="2102"/>
      <c r="AG529" s="196" t="s">
        <v>426</v>
      </c>
      <c r="AH529" s="2191">
        <v>2021</v>
      </c>
      <c r="AI529" s="2191"/>
      <c r="AJ529" s="2191"/>
      <c r="AK529" s="219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342"/>
      <c r="C530" s="2343"/>
      <c r="D530" s="2343"/>
      <c r="E530" s="2343"/>
      <c r="F530" s="2343"/>
      <c r="G530" s="2343"/>
      <c r="H530" s="2344"/>
      <c r="I530" s="25" t="s">
        <v>439</v>
      </c>
      <c r="J530" s="25"/>
      <c r="K530" s="25"/>
      <c r="L530" s="25"/>
      <c r="M530" s="25"/>
      <c r="N530" s="25"/>
      <c r="O530" s="25"/>
      <c r="P530" s="25"/>
      <c r="Q530" s="25"/>
      <c r="R530" s="25"/>
      <c r="S530" s="25"/>
      <c r="T530" s="25"/>
      <c r="U530" s="25"/>
      <c r="V530" s="25"/>
      <c r="W530" s="25"/>
      <c r="X530" s="25"/>
      <c r="Y530" s="25"/>
      <c r="Z530" s="25"/>
      <c r="AA530" s="25"/>
      <c r="AB530" s="25"/>
      <c r="AC530" s="2325" t="s">
        <v>628</v>
      </c>
      <c r="AD530" s="2128"/>
      <c r="AE530" s="2128"/>
      <c r="AF530" s="2128"/>
      <c r="AG530" s="75" t="s">
        <v>426</v>
      </c>
      <c r="AH530" s="2191"/>
      <c r="AI530" s="2191"/>
      <c r="AJ530" s="2191"/>
      <c r="AK530" s="219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20"/>
      <c r="C531" s="2421"/>
      <c r="D531" s="2421"/>
      <c r="E531" s="2421"/>
      <c r="F531" s="2421"/>
      <c r="G531" s="2421"/>
      <c r="H531" s="2422"/>
      <c r="I531" s="80" t="s">
        <v>440</v>
      </c>
      <c r="J531" s="80"/>
      <c r="K531" s="80"/>
      <c r="L531" s="80"/>
      <c r="M531" s="80"/>
      <c r="N531" s="80"/>
      <c r="O531" s="80"/>
      <c r="P531" s="80"/>
      <c r="Q531" s="80"/>
      <c r="R531" s="80"/>
      <c r="S531" s="80"/>
      <c r="T531" s="80"/>
      <c r="U531" s="80"/>
      <c r="V531" s="80"/>
      <c r="W531" s="80"/>
      <c r="X531" s="80"/>
      <c r="Y531" s="80"/>
      <c r="Z531" s="80"/>
      <c r="AA531" s="80"/>
      <c r="AB531" s="80"/>
      <c r="AC531" s="2325">
        <v>2</v>
      </c>
      <c r="AD531" s="2128"/>
      <c r="AE531" s="2128"/>
      <c r="AF531" s="2128"/>
      <c r="AG531" s="65" t="s">
        <v>426</v>
      </c>
      <c r="AH531" s="2191">
        <v>2022</v>
      </c>
      <c r="AI531" s="2191"/>
      <c r="AJ531" s="2191"/>
      <c r="AK531" s="219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339" t="s">
        <v>442</v>
      </c>
      <c r="C532" s="2340"/>
      <c r="D532" s="2340"/>
      <c r="E532" s="2340"/>
      <c r="F532" s="2340"/>
      <c r="G532" s="2340"/>
      <c r="H532" s="2341"/>
      <c r="I532" s="71" t="s">
        <v>443</v>
      </c>
      <c r="J532" s="72"/>
      <c r="K532" s="72"/>
      <c r="L532" s="72"/>
      <c r="M532" s="72"/>
      <c r="N532" s="72"/>
      <c r="O532" s="2162" t="s">
        <v>2548</v>
      </c>
      <c r="P532" s="2162"/>
      <c r="Q532" s="2162"/>
      <c r="R532" s="2162"/>
      <c r="S532" s="2162"/>
      <c r="T532" s="2162"/>
      <c r="U532" s="2162"/>
      <c r="V532" s="2162"/>
      <c r="W532" s="2162"/>
      <c r="X532" s="2162"/>
      <c r="Y532" s="2162"/>
      <c r="Z532" s="2162"/>
      <c r="AA532" s="2162"/>
      <c r="AB532" s="94"/>
      <c r="AC532" s="2101"/>
      <c r="AD532" s="2102"/>
      <c r="AE532" s="2102"/>
      <c r="AF532" s="2102"/>
      <c r="AG532" s="196" t="s">
        <v>426</v>
      </c>
      <c r="AH532" s="2191"/>
      <c r="AI532" s="2191"/>
      <c r="AJ532" s="2191"/>
      <c r="AK532" s="219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342"/>
      <c r="C533" s="2343"/>
      <c r="D533" s="2343"/>
      <c r="E533" s="2343"/>
      <c r="F533" s="2343"/>
      <c r="G533" s="2343"/>
      <c r="H533" s="2344"/>
      <c r="I533" s="171" t="s">
        <v>444</v>
      </c>
      <c r="J533" s="25"/>
      <c r="K533" s="25"/>
      <c r="L533" s="25"/>
      <c r="M533" s="25"/>
      <c r="N533" s="25"/>
      <c r="O533" s="25"/>
      <c r="P533" s="25"/>
      <c r="Q533" s="25"/>
      <c r="R533" s="25"/>
      <c r="S533" s="25"/>
      <c r="T533" s="25"/>
      <c r="U533" s="25"/>
      <c r="V533" s="25"/>
      <c r="W533" s="25"/>
      <c r="X533" s="25"/>
      <c r="Y533" s="25"/>
      <c r="Z533" s="25"/>
      <c r="AA533" s="25"/>
      <c r="AB533" s="101"/>
      <c r="AC533" s="2325">
        <v>2</v>
      </c>
      <c r="AD533" s="2128"/>
      <c r="AE533" s="2128"/>
      <c r="AF533" s="2128"/>
      <c r="AG533" s="75" t="s">
        <v>426</v>
      </c>
      <c r="AH533" s="2191">
        <v>2020</v>
      </c>
      <c r="AI533" s="2191"/>
      <c r="AJ533" s="2191"/>
      <c r="AK533" s="219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342"/>
      <c r="C534" s="2343"/>
      <c r="D534" s="2343"/>
      <c r="E534" s="2343"/>
      <c r="F534" s="2343"/>
      <c r="G534" s="2343"/>
      <c r="H534" s="2344"/>
      <c r="I534" s="79" t="s">
        <v>445</v>
      </c>
      <c r="J534" s="80"/>
      <c r="K534" s="80"/>
      <c r="L534" s="80"/>
      <c r="M534" s="80"/>
      <c r="N534" s="80"/>
      <c r="O534" s="80"/>
      <c r="P534" s="80"/>
      <c r="Q534" s="80"/>
      <c r="R534" s="80"/>
      <c r="S534" s="80"/>
      <c r="T534" s="80"/>
      <c r="U534" s="80"/>
      <c r="V534" s="80"/>
      <c r="W534" s="80"/>
      <c r="X534" s="80"/>
      <c r="Y534" s="80"/>
      <c r="Z534" s="80"/>
      <c r="AA534" s="80"/>
      <c r="AB534" s="81"/>
      <c r="AC534" s="2325">
        <v>6</v>
      </c>
      <c r="AD534" s="2128"/>
      <c r="AE534" s="2128"/>
      <c r="AF534" s="2128"/>
      <c r="AG534" s="65" t="s">
        <v>426</v>
      </c>
      <c r="AH534" s="2191">
        <v>2020</v>
      </c>
      <c r="AI534" s="2191"/>
      <c r="AJ534" s="2191"/>
      <c r="AK534" s="219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342"/>
      <c r="C535" s="2343"/>
      <c r="D535" s="2343"/>
      <c r="E535" s="2343"/>
      <c r="F535" s="2343"/>
      <c r="G535" s="2343"/>
      <c r="H535" s="2344"/>
      <c r="I535" s="72" t="s">
        <v>446</v>
      </c>
      <c r="J535" s="72"/>
      <c r="K535" s="72"/>
      <c r="L535" s="72"/>
      <c r="M535" s="72"/>
      <c r="N535" s="72"/>
      <c r="O535" s="1935" t="s">
        <v>2589</v>
      </c>
      <c r="P535" s="1935"/>
      <c r="Q535" s="1935"/>
      <c r="R535" s="1935"/>
      <c r="S535" s="1935"/>
      <c r="T535" s="1935"/>
      <c r="U535" s="1935"/>
      <c r="V535" s="1935"/>
      <c r="W535" s="1935"/>
      <c r="X535" s="1935"/>
      <c r="Y535" s="1935"/>
      <c r="Z535" s="1935"/>
      <c r="AA535" s="1935"/>
      <c r="AC535" s="2325" t="s">
        <v>628</v>
      </c>
      <c r="AD535" s="2128"/>
      <c r="AE535" s="2128"/>
      <c r="AF535" s="2128"/>
      <c r="AG535" s="75" t="s">
        <v>426</v>
      </c>
      <c r="AH535" s="2191"/>
      <c r="AI535" s="2191"/>
      <c r="AJ535" s="2191"/>
      <c r="AK535" s="219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342"/>
      <c r="C536" s="2343"/>
      <c r="D536" s="2343"/>
      <c r="E536" s="2343"/>
      <c r="F536" s="2343"/>
      <c r="G536" s="2343"/>
      <c r="H536" s="2344"/>
      <c r="I536" s="25" t="s">
        <v>444</v>
      </c>
      <c r="J536" s="25"/>
      <c r="K536" s="25"/>
      <c r="L536" s="25"/>
      <c r="M536" s="25"/>
      <c r="N536" s="25"/>
      <c r="O536" s="25"/>
      <c r="P536" s="25"/>
      <c r="Q536" s="25"/>
      <c r="R536" s="25"/>
      <c r="S536" s="25"/>
      <c r="T536" s="25"/>
      <c r="U536" s="25"/>
      <c r="V536" s="25"/>
      <c r="W536" s="25"/>
      <c r="X536" s="25"/>
      <c r="Y536" s="25"/>
      <c r="AC536" s="2325">
        <v>1</v>
      </c>
      <c r="AD536" s="2128"/>
      <c r="AE536" s="2128"/>
      <c r="AF536" s="2128"/>
      <c r="AG536" s="75" t="s">
        <v>426</v>
      </c>
      <c r="AH536" s="2191">
        <v>2021</v>
      </c>
      <c r="AI536" s="2191"/>
      <c r="AJ536" s="2191"/>
      <c r="AK536" s="219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342"/>
      <c r="C537" s="2343"/>
      <c r="D537" s="2343"/>
      <c r="E537" s="2343"/>
      <c r="F537" s="2343"/>
      <c r="G537" s="2343"/>
      <c r="H537" s="2344"/>
      <c r="I537" s="80" t="s">
        <v>445</v>
      </c>
      <c r="J537" s="80"/>
      <c r="K537" s="80"/>
      <c r="L537" s="80"/>
      <c r="M537" s="80"/>
      <c r="N537" s="80"/>
      <c r="O537" s="80"/>
      <c r="P537" s="80"/>
      <c r="Q537" s="80"/>
      <c r="R537" s="80"/>
      <c r="S537" s="80"/>
      <c r="T537" s="80"/>
      <c r="U537" s="80"/>
      <c r="V537" s="80"/>
      <c r="W537" s="80"/>
      <c r="X537" s="80"/>
      <c r="Y537" s="80"/>
      <c r="Z537" s="80"/>
      <c r="AA537" s="80"/>
      <c r="AB537" s="80"/>
      <c r="AC537" s="2325">
        <v>1</v>
      </c>
      <c r="AD537" s="2128"/>
      <c r="AE537" s="2128"/>
      <c r="AF537" s="2128"/>
      <c r="AG537" s="65" t="s">
        <v>426</v>
      </c>
      <c r="AH537" s="2191">
        <v>2021</v>
      </c>
      <c r="AI537" s="2191"/>
      <c r="AJ537" s="2191"/>
      <c r="AK537" s="219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342"/>
      <c r="C538" s="2343"/>
      <c r="D538" s="2343"/>
      <c r="E538" s="2343"/>
      <c r="F538" s="2343"/>
      <c r="G538" s="2343"/>
      <c r="H538" s="2344"/>
      <c r="I538" s="72" t="s">
        <v>446</v>
      </c>
      <c r="J538" s="72"/>
      <c r="K538" s="72"/>
      <c r="L538" s="72"/>
      <c r="M538" s="72"/>
      <c r="N538" s="72"/>
      <c r="O538" s="1935" t="s">
        <v>2588</v>
      </c>
      <c r="P538" s="1935"/>
      <c r="Q538" s="1935"/>
      <c r="R538" s="1935"/>
      <c r="S538" s="1935"/>
      <c r="T538" s="1935"/>
      <c r="U538" s="1935"/>
      <c r="V538" s="1935"/>
      <c r="W538" s="1935"/>
      <c r="X538" s="1935"/>
      <c r="Y538" s="1935"/>
      <c r="Z538" s="1935"/>
      <c r="AA538" s="1935"/>
      <c r="AC538" s="2325" t="s">
        <v>628</v>
      </c>
      <c r="AD538" s="2128"/>
      <c r="AE538" s="2128"/>
      <c r="AF538" s="2128"/>
      <c r="AG538" s="75" t="s">
        <v>426</v>
      </c>
      <c r="AH538" s="2191"/>
      <c r="AI538" s="2191"/>
      <c r="AJ538" s="2191"/>
      <c r="AK538" s="219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342"/>
      <c r="C539" s="2343"/>
      <c r="D539" s="2343"/>
      <c r="E539" s="2343"/>
      <c r="F539" s="2343"/>
      <c r="G539" s="2343"/>
      <c r="H539" s="2344"/>
      <c r="I539" s="25" t="s">
        <v>444</v>
      </c>
      <c r="J539" s="25"/>
      <c r="K539" s="25"/>
      <c r="L539" s="25"/>
      <c r="M539" s="25"/>
      <c r="N539" s="25"/>
      <c r="O539" s="25"/>
      <c r="P539" s="25"/>
      <c r="Q539" s="25"/>
      <c r="R539" s="25"/>
      <c r="S539" s="25"/>
      <c r="T539" s="25"/>
      <c r="U539" s="25"/>
      <c r="V539" s="25"/>
      <c r="W539" s="25"/>
      <c r="X539" s="25"/>
      <c r="Y539" s="25"/>
      <c r="AC539" s="2325">
        <v>4</v>
      </c>
      <c r="AD539" s="2128"/>
      <c r="AE539" s="2128"/>
      <c r="AF539" s="2128"/>
      <c r="AG539" s="75" t="s">
        <v>426</v>
      </c>
      <c r="AH539" s="2191">
        <v>2020</v>
      </c>
      <c r="AI539" s="2191"/>
      <c r="AJ539" s="2191"/>
      <c r="AK539" s="219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342"/>
      <c r="C540" s="2343"/>
      <c r="D540" s="2343"/>
      <c r="E540" s="2343"/>
      <c r="F540" s="2343"/>
      <c r="G540" s="2343"/>
      <c r="H540" s="2344"/>
      <c r="I540" s="80" t="s">
        <v>445</v>
      </c>
      <c r="J540" s="80"/>
      <c r="K540" s="80"/>
      <c r="L540" s="80"/>
      <c r="M540" s="80"/>
      <c r="N540" s="80"/>
      <c r="O540" s="80"/>
      <c r="P540" s="80"/>
      <c r="Q540" s="80"/>
      <c r="R540" s="80"/>
      <c r="S540" s="80"/>
      <c r="T540" s="80"/>
      <c r="U540" s="80"/>
      <c r="V540" s="80"/>
      <c r="W540" s="80"/>
      <c r="X540" s="80"/>
      <c r="Y540" s="80"/>
      <c r="Z540" s="80"/>
      <c r="AA540" s="80"/>
      <c r="AB540" s="80"/>
      <c r="AC540" s="2325">
        <v>6</v>
      </c>
      <c r="AD540" s="2128"/>
      <c r="AE540" s="2128"/>
      <c r="AF540" s="2128"/>
      <c r="AG540" s="65" t="s">
        <v>426</v>
      </c>
      <c r="AH540" s="2191">
        <v>2020</v>
      </c>
      <c r="AI540" s="2191"/>
      <c r="AJ540" s="2191"/>
      <c r="AK540" s="219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342"/>
      <c r="C541" s="2343"/>
      <c r="D541" s="2343"/>
      <c r="E541" s="2343"/>
      <c r="F541" s="2343"/>
      <c r="G541" s="2343"/>
      <c r="H541" s="2344"/>
      <c r="I541" s="72" t="s">
        <v>446</v>
      </c>
      <c r="J541" s="72"/>
      <c r="K541" s="72"/>
      <c r="L541" s="72"/>
      <c r="M541" s="72"/>
      <c r="N541" s="72"/>
      <c r="O541" s="1935" t="s">
        <v>345</v>
      </c>
      <c r="P541" s="1935"/>
      <c r="Q541" s="1935"/>
      <c r="R541" s="1935"/>
      <c r="S541" s="1935"/>
      <c r="T541" s="1935"/>
      <c r="U541" s="1935"/>
      <c r="V541" s="1935"/>
      <c r="W541" s="1935"/>
      <c r="X541" s="1935"/>
      <c r="Y541" s="1935"/>
      <c r="Z541" s="1935"/>
      <c r="AA541" s="1935"/>
      <c r="AC541" s="2325" t="s">
        <v>628</v>
      </c>
      <c r="AD541" s="2128"/>
      <c r="AE541" s="2128"/>
      <c r="AF541" s="2128"/>
      <c r="AG541" s="75" t="s">
        <v>426</v>
      </c>
      <c r="AH541" s="2191"/>
      <c r="AI541" s="2191"/>
      <c r="AJ541" s="2191"/>
      <c r="AK541" s="219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342"/>
      <c r="C542" s="2343"/>
      <c r="D542" s="2343"/>
      <c r="E542" s="2343"/>
      <c r="F542" s="2343"/>
      <c r="G542" s="2343"/>
      <c r="H542" s="2344"/>
      <c r="I542" s="25" t="s">
        <v>444</v>
      </c>
      <c r="J542" s="25"/>
      <c r="K542" s="25"/>
      <c r="L542" s="25"/>
      <c r="M542" s="25"/>
      <c r="N542" s="25"/>
      <c r="O542" s="25"/>
      <c r="P542" s="25"/>
      <c r="Q542" s="25"/>
      <c r="R542" s="25"/>
      <c r="S542" s="25"/>
      <c r="T542" s="25"/>
      <c r="U542" s="25"/>
      <c r="V542" s="25"/>
      <c r="W542" s="25"/>
      <c r="X542" s="25"/>
      <c r="Y542" s="25"/>
      <c r="AC542" s="2325" t="s">
        <v>628</v>
      </c>
      <c r="AD542" s="2128"/>
      <c r="AE542" s="2128"/>
      <c r="AF542" s="2128"/>
      <c r="AG542" s="75" t="s">
        <v>426</v>
      </c>
      <c r="AH542" s="2191"/>
      <c r="AI542" s="2191"/>
      <c r="AJ542" s="2191"/>
      <c r="AK542" s="219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342"/>
      <c r="C543" s="2343"/>
      <c r="D543" s="2343"/>
      <c r="E543" s="2343"/>
      <c r="F543" s="2343"/>
      <c r="G543" s="2343"/>
      <c r="H543" s="2344"/>
      <c r="I543" s="80" t="s">
        <v>445</v>
      </c>
      <c r="J543" s="80"/>
      <c r="K543" s="80"/>
      <c r="L543" s="80"/>
      <c r="M543" s="80"/>
      <c r="N543" s="80"/>
      <c r="O543" s="80"/>
      <c r="P543" s="80"/>
      <c r="Q543" s="80"/>
      <c r="R543" s="80"/>
      <c r="S543" s="80"/>
      <c r="T543" s="80"/>
      <c r="U543" s="80"/>
      <c r="V543" s="80"/>
      <c r="W543" s="80"/>
      <c r="X543" s="80"/>
      <c r="Y543" s="80"/>
      <c r="Z543" s="80"/>
      <c r="AA543" s="80"/>
      <c r="AB543" s="80"/>
      <c r="AC543" s="2325" t="s">
        <v>628</v>
      </c>
      <c r="AD543" s="2128"/>
      <c r="AE543" s="2128"/>
      <c r="AF543" s="2128"/>
      <c r="AG543" s="65" t="s">
        <v>426</v>
      </c>
      <c r="AH543" s="2191"/>
      <c r="AI543" s="2191"/>
      <c r="AJ543" s="2191"/>
      <c r="AK543" s="219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342"/>
      <c r="C544" s="2343"/>
      <c r="D544" s="2343"/>
      <c r="E544" s="2343"/>
      <c r="F544" s="2343"/>
      <c r="G544" s="2343"/>
      <c r="H544" s="2344"/>
      <c r="I544" s="72" t="s">
        <v>446</v>
      </c>
      <c r="J544" s="72"/>
      <c r="K544" s="72"/>
      <c r="L544" s="72"/>
      <c r="M544" s="72"/>
      <c r="N544" s="72"/>
      <c r="O544" s="1935" t="s">
        <v>345</v>
      </c>
      <c r="P544" s="1935"/>
      <c r="Q544" s="1935"/>
      <c r="R544" s="1935"/>
      <c r="S544" s="1935"/>
      <c r="T544" s="1935"/>
      <c r="U544" s="1935"/>
      <c r="V544" s="1935"/>
      <c r="W544" s="1935"/>
      <c r="X544" s="1935"/>
      <c r="Y544" s="1935"/>
      <c r="Z544" s="1935"/>
      <c r="AA544" s="1935"/>
      <c r="AC544" s="2325" t="s">
        <v>628</v>
      </c>
      <c r="AD544" s="2128"/>
      <c r="AE544" s="2128"/>
      <c r="AF544" s="2128"/>
      <c r="AG544" s="75" t="s">
        <v>426</v>
      </c>
      <c r="AH544" s="2191"/>
      <c r="AI544" s="2191"/>
      <c r="AJ544" s="2191"/>
      <c r="AK544" s="219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342"/>
      <c r="C545" s="2343"/>
      <c r="D545" s="2343"/>
      <c r="E545" s="2343"/>
      <c r="F545" s="2343"/>
      <c r="G545" s="2343"/>
      <c r="H545" s="2344"/>
      <c r="I545" s="25" t="s">
        <v>444</v>
      </c>
      <c r="J545" s="25"/>
      <c r="K545" s="25"/>
      <c r="L545" s="25"/>
      <c r="M545" s="25"/>
      <c r="N545" s="25"/>
      <c r="O545" s="25"/>
      <c r="P545" s="25"/>
      <c r="Q545" s="25"/>
      <c r="R545" s="25"/>
      <c r="S545" s="25"/>
      <c r="T545" s="25"/>
      <c r="U545" s="25"/>
      <c r="V545" s="25"/>
      <c r="W545" s="25"/>
      <c r="X545" s="25"/>
      <c r="Y545" s="25"/>
      <c r="AC545" s="2325" t="s">
        <v>628</v>
      </c>
      <c r="AD545" s="2128"/>
      <c r="AE545" s="2128"/>
      <c r="AF545" s="2128"/>
      <c r="AG545" s="65" t="s">
        <v>426</v>
      </c>
      <c r="AH545" s="2191"/>
      <c r="AI545" s="2191"/>
      <c r="AJ545" s="2191"/>
      <c r="AK545" s="219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342"/>
      <c r="C546" s="2343"/>
      <c r="D546" s="2343"/>
      <c r="E546" s="2343"/>
      <c r="F546" s="2343"/>
      <c r="G546" s="2343"/>
      <c r="H546" s="2344"/>
      <c r="I546" s="80" t="s">
        <v>445</v>
      </c>
      <c r="J546" s="80"/>
      <c r="K546" s="80"/>
      <c r="L546" s="80"/>
      <c r="M546" s="80"/>
      <c r="N546" s="80"/>
      <c r="O546" s="80"/>
      <c r="P546" s="80"/>
      <c r="Q546" s="80"/>
      <c r="R546" s="80"/>
      <c r="S546" s="80"/>
      <c r="T546" s="80"/>
      <c r="U546" s="80"/>
      <c r="V546" s="80"/>
      <c r="W546" s="80"/>
      <c r="X546" s="80"/>
      <c r="Y546" s="80"/>
      <c r="Z546" s="80"/>
      <c r="AA546" s="80"/>
      <c r="AB546" s="80"/>
      <c r="AC546" s="2325" t="s">
        <v>628</v>
      </c>
      <c r="AD546" s="2128"/>
      <c r="AE546" s="2128"/>
      <c r="AF546" s="2128"/>
      <c r="AG546" s="75" t="s">
        <v>426</v>
      </c>
      <c r="AH546" s="2191"/>
      <c r="AI546" s="2191"/>
      <c r="AJ546" s="2191"/>
      <c r="AK546" s="219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342"/>
      <c r="C547" s="2343"/>
      <c r="D547" s="2343"/>
      <c r="E547" s="2343"/>
      <c r="F547" s="2343"/>
      <c r="G547" s="2343"/>
      <c r="H547" s="2344"/>
      <c r="I547" s="72" t="s">
        <v>446</v>
      </c>
      <c r="J547" s="72"/>
      <c r="K547" s="72"/>
      <c r="L547" s="72"/>
      <c r="M547" s="72"/>
      <c r="N547" s="72"/>
      <c r="O547" s="1935" t="s">
        <v>345</v>
      </c>
      <c r="P547" s="1935"/>
      <c r="Q547" s="1935"/>
      <c r="R547" s="1935"/>
      <c r="S547" s="1935"/>
      <c r="T547" s="1935"/>
      <c r="U547" s="1935"/>
      <c r="V547" s="1935"/>
      <c r="W547" s="1935"/>
      <c r="X547" s="1935"/>
      <c r="Y547" s="1935"/>
      <c r="Z547" s="1935"/>
      <c r="AA547" s="1935"/>
      <c r="AC547" s="2325" t="s">
        <v>628</v>
      </c>
      <c r="AD547" s="2128"/>
      <c r="AE547" s="2128"/>
      <c r="AF547" s="2128"/>
      <c r="AG547" s="65" t="s">
        <v>426</v>
      </c>
      <c r="AH547" s="2191"/>
      <c r="AI547" s="2191"/>
      <c r="AJ547" s="2191"/>
      <c r="AK547" s="219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342"/>
      <c r="C548" s="2343"/>
      <c r="D548" s="2343"/>
      <c r="E548" s="2343"/>
      <c r="F548" s="2343"/>
      <c r="G548" s="2343"/>
      <c r="H548" s="2344"/>
      <c r="I548" s="25" t="s">
        <v>444</v>
      </c>
      <c r="J548" s="25"/>
      <c r="K548" s="25"/>
      <c r="L548" s="25"/>
      <c r="M548" s="25"/>
      <c r="N548" s="25"/>
      <c r="O548" s="25"/>
      <c r="P548" s="25"/>
      <c r="Q548" s="25"/>
      <c r="R548" s="25"/>
      <c r="S548" s="25"/>
      <c r="T548" s="25"/>
      <c r="U548" s="25"/>
      <c r="V548" s="25"/>
      <c r="W548" s="25"/>
      <c r="X548" s="25"/>
      <c r="Y548" s="25"/>
      <c r="AC548" s="2325" t="s">
        <v>628</v>
      </c>
      <c r="AD548" s="2128"/>
      <c r="AE548" s="2128"/>
      <c r="AF548" s="2128"/>
      <c r="AG548" s="75" t="s">
        <v>426</v>
      </c>
      <c r="AH548" s="2191"/>
      <c r="AI548" s="2191"/>
      <c r="AJ548" s="2191"/>
      <c r="AK548" s="219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342"/>
      <c r="C549" s="2343"/>
      <c r="D549" s="2343"/>
      <c r="E549" s="2343"/>
      <c r="F549" s="2343"/>
      <c r="G549" s="2343"/>
      <c r="H549" s="2344"/>
      <c r="I549" s="80" t="s">
        <v>445</v>
      </c>
      <c r="J549" s="80"/>
      <c r="K549" s="80"/>
      <c r="L549" s="80"/>
      <c r="M549" s="80"/>
      <c r="N549" s="80"/>
      <c r="O549" s="80"/>
      <c r="P549" s="80"/>
      <c r="Q549" s="80"/>
      <c r="R549" s="80"/>
      <c r="S549" s="80"/>
      <c r="T549" s="80"/>
      <c r="U549" s="80"/>
      <c r="V549" s="80"/>
      <c r="W549" s="80"/>
      <c r="X549" s="80"/>
      <c r="Y549" s="80"/>
      <c r="Z549" s="80"/>
      <c r="AA549" s="80"/>
      <c r="AB549" s="80"/>
      <c r="AC549" s="2325" t="s">
        <v>628</v>
      </c>
      <c r="AD549" s="2128"/>
      <c r="AE549" s="2128"/>
      <c r="AF549" s="2128"/>
      <c r="AG549" s="65" t="s">
        <v>426</v>
      </c>
      <c r="AH549" s="2191"/>
      <c r="AI549" s="2191"/>
      <c r="AJ549" s="2191"/>
      <c r="AK549" s="219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342"/>
      <c r="C550" s="2343"/>
      <c r="D550" s="2343"/>
      <c r="E550" s="2343"/>
      <c r="F550" s="2343"/>
      <c r="G550" s="2343"/>
      <c r="H550" s="2344"/>
      <c r="I550" s="72" t="s">
        <v>597</v>
      </c>
      <c r="J550" s="72"/>
      <c r="K550" s="72"/>
      <c r="L550" s="72"/>
      <c r="M550" s="72"/>
      <c r="N550" s="72"/>
      <c r="O550" s="72"/>
      <c r="P550" s="72"/>
      <c r="Q550" s="72"/>
      <c r="R550" s="72"/>
      <c r="S550" s="72"/>
      <c r="T550" s="72"/>
      <c r="U550" s="72"/>
      <c r="V550" s="72"/>
      <c r="W550" s="72"/>
      <c r="X550" s="25"/>
      <c r="Y550" s="25"/>
      <c r="AC550" s="2325">
        <v>2</v>
      </c>
      <c r="AD550" s="2128"/>
      <c r="AE550" s="2128"/>
      <c r="AF550" s="2128"/>
      <c r="AG550" s="65" t="s">
        <v>426</v>
      </c>
      <c r="AH550" s="2191">
        <v>2022</v>
      </c>
      <c r="AI550" s="2191"/>
      <c r="AJ550" s="2191"/>
      <c r="AK550" s="219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342"/>
      <c r="C551" s="2343"/>
      <c r="D551" s="2343"/>
      <c r="E551" s="2343"/>
      <c r="F551" s="2343"/>
      <c r="G551" s="2343"/>
      <c r="H551" s="2344"/>
      <c r="I551" s="25" t="s">
        <v>598</v>
      </c>
      <c r="J551" s="25"/>
      <c r="K551" s="25"/>
      <c r="L551" s="25"/>
      <c r="M551" s="25"/>
      <c r="N551" s="25"/>
      <c r="O551" s="25"/>
      <c r="P551" s="25"/>
      <c r="Q551" s="25"/>
      <c r="R551" s="25"/>
      <c r="S551" s="25"/>
      <c r="T551" s="25"/>
      <c r="U551" s="25"/>
      <c r="V551" s="25"/>
      <c r="W551" s="25"/>
      <c r="X551" s="25"/>
      <c r="Y551" s="25"/>
      <c r="AC551" s="2325">
        <v>10</v>
      </c>
      <c r="AD551" s="2128"/>
      <c r="AE551" s="2128"/>
      <c r="AF551" s="2128"/>
      <c r="AG551" s="75" t="s">
        <v>426</v>
      </c>
      <c r="AH551" s="2191">
        <v>2021</v>
      </c>
      <c r="AI551" s="2191"/>
      <c r="AJ551" s="2191"/>
      <c r="AK551" s="219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342"/>
      <c r="C552" s="2343"/>
      <c r="D552" s="2343"/>
      <c r="E552" s="2343"/>
      <c r="F552" s="2343"/>
      <c r="G552" s="2343"/>
      <c r="H552" s="2344"/>
      <c r="I552" s="25" t="s">
        <v>599</v>
      </c>
      <c r="J552" s="25"/>
      <c r="K552" s="25"/>
      <c r="L552" s="25"/>
      <c r="M552" s="25"/>
      <c r="N552" s="25"/>
      <c r="O552" s="25"/>
      <c r="P552" s="25"/>
      <c r="Q552" s="25"/>
      <c r="R552" s="25"/>
      <c r="S552" s="25"/>
      <c r="T552" s="25"/>
      <c r="U552" s="25"/>
      <c r="V552" s="25"/>
      <c r="W552" s="25"/>
      <c r="X552" s="25"/>
      <c r="Y552" s="25"/>
      <c r="AC552" s="2325">
        <v>4</v>
      </c>
      <c r="AD552" s="2128"/>
      <c r="AE552" s="2128"/>
      <c r="AF552" s="2128"/>
      <c r="AG552" s="65" t="s">
        <v>426</v>
      </c>
      <c r="AH552" s="2191">
        <v>2023</v>
      </c>
      <c r="AI552" s="2191"/>
      <c r="AJ552" s="2191"/>
      <c r="AK552" s="219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342"/>
      <c r="C553" s="2343"/>
      <c r="D553" s="2343"/>
      <c r="E553" s="2343"/>
      <c r="F553" s="2343"/>
      <c r="G553" s="2343"/>
      <c r="H553" s="2344"/>
      <c r="I553" s="25" t="s">
        <v>600</v>
      </c>
      <c r="J553" s="25"/>
      <c r="K553" s="25"/>
      <c r="L553" s="25"/>
      <c r="M553" s="25"/>
      <c r="N553" s="25"/>
      <c r="O553" s="25"/>
      <c r="P553" s="25"/>
      <c r="Q553" s="25"/>
      <c r="R553" s="25"/>
      <c r="S553" s="25"/>
      <c r="T553" s="25"/>
      <c r="U553" s="25"/>
      <c r="V553" s="25"/>
      <c r="W553" s="25"/>
      <c r="X553" s="25"/>
      <c r="Y553" s="25"/>
      <c r="AC553" s="2325">
        <v>4</v>
      </c>
      <c r="AD553" s="2128"/>
      <c r="AE553" s="2128"/>
      <c r="AF553" s="2128"/>
      <c r="AG553" s="65" t="s">
        <v>426</v>
      </c>
      <c r="AH553" s="2191">
        <v>2023</v>
      </c>
      <c r="AI553" s="2191"/>
      <c r="AJ553" s="2191"/>
      <c r="AK553" s="219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20"/>
      <c r="C554" s="2421"/>
      <c r="D554" s="2421"/>
      <c r="E554" s="2421"/>
      <c r="F554" s="2421"/>
      <c r="G554" s="2421"/>
      <c r="H554" s="2422"/>
      <c r="I554" s="80" t="s">
        <v>484</v>
      </c>
      <c r="J554" s="80"/>
      <c r="K554" s="80"/>
      <c r="L554" s="80"/>
      <c r="M554" s="80"/>
      <c r="N554" s="80"/>
      <c r="O554" s="80"/>
      <c r="P554" s="80"/>
      <c r="Q554" s="80"/>
      <c r="R554" s="80"/>
      <c r="S554" s="80"/>
      <c r="T554" s="80"/>
      <c r="U554" s="80"/>
      <c r="V554" s="80"/>
      <c r="W554" s="80"/>
      <c r="X554" s="80"/>
      <c r="Y554" s="80"/>
      <c r="Z554" s="80"/>
      <c r="AA554" s="80"/>
      <c r="AB554" s="80"/>
      <c r="AC554" s="2325">
        <v>6</v>
      </c>
      <c r="AD554" s="2128"/>
      <c r="AE554" s="2128"/>
      <c r="AF554" s="2128"/>
      <c r="AG554" s="65" t="s">
        <v>426</v>
      </c>
      <c r="AH554" s="2191">
        <v>2023</v>
      </c>
      <c r="AI554" s="2191"/>
      <c r="AJ554" s="2191"/>
      <c r="AK554" s="219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842"/>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757" t="s">
        <v>578</v>
      </c>
      <c r="B556" s="1757"/>
      <c r="C556" s="1757"/>
      <c r="D556" s="1757"/>
      <c r="E556" s="1757"/>
      <c r="F556" s="1757"/>
      <c r="G556" s="1757"/>
      <c r="H556" s="1757"/>
      <c r="I556" s="1757"/>
      <c r="J556" s="1757"/>
      <c r="K556" s="1757"/>
      <c r="L556" s="1757"/>
      <c r="M556" s="1757"/>
      <c r="N556" s="1757"/>
      <c r="O556" s="1757"/>
      <c r="P556" s="1757"/>
      <c r="Q556" s="1757"/>
      <c r="R556" s="1757"/>
      <c r="S556" s="1757"/>
      <c r="T556" s="1757"/>
      <c r="U556" s="1757"/>
      <c r="V556" s="1757"/>
      <c r="W556" s="1757"/>
      <c r="X556" s="1757"/>
      <c r="Y556" s="1757"/>
      <c r="Z556" s="1757"/>
      <c r="AA556" s="1757"/>
      <c r="AB556" s="1757"/>
      <c r="AC556" s="1757"/>
      <c r="AD556" s="1757"/>
      <c r="AE556" s="1757"/>
      <c r="AF556" s="1757"/>
      <c r="AG556" s="1757"/>
      <c r="AH556" s="1757"/>
      <c r="AI556" s="1757"/>
      <c r="AJ556" s="1757"/>
      <c r="AK556" s="1757"/>
      <c r="AL556" s="1757"/>
      <c r="AM556" s="1757"/>
      <c r="AN556" s="1757"/>
      <c r="AO556" s="1757"/>
      <c r="AP556" s="1757"/>
      <c r="AQ556" s="1757"/>
      <c r="AR556" s="1757"/>
      <c r="AS556" s="1757"/>
      <c r="AT556" s="1493"/>
      <c r="AU556" s="1493"/>
      <c r="AV556" s="1493"/>
      <c r="AW556" s="1493"/>
      <c r="AX556" s="1493"/>
      <c r="AY556" s="149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757"/>
      <c r="B557" s="1757"/>
      <c r="C557" s="1757"/>
      <c r="D557" s="1757"/>
      <c r="E557" s="1757"/>
      <c r="F557" s="1757"/>
      <c r="G557" s="1757"/>
      <c r="H557" s="1757"/>
      <c r="I557" s="1757"/>
      <c r="J557" s="1757"/>
      <c r="K557" s="1757"/>
      <c r="L557" s="1757"/>
      <c r="M557" s="1757"/>
      <c r="N557" s="1757"/>
      <c r="O557" s="1757"/>
      <c r="P557" s="1757"/>
      <c r="Q557" s="1757"/>
      <c r="R557" s="1757"/>
      <c r="S557" s="1757"/>
      <c r="T557" s="1757"/>
      <c r="U557" s="1757"/>
      <c r="V557" s="1757"/>
      <c r="W557" s="1757"/>
      <c r="X557" s="1757"/>
      <c r="Y557" s="1757"/>
      <c r="Z557" s="1757"/>
      <c r="AA557" s="1757"/>
      <c r="AB557" s="1757"/>
      <c r="AC557" s="1757"/>
      <c r="AD557" s="1757"/>
      <c r="AE557" s="1757"/>
      <c r="AF557" s="1757"/>
      <c r="AG557" s="1757"/>
      <c r="AH557" s="1757"/>
      <c r="AI557" s="1757"/>
      <c r="AJ557" s="1757"/>
      <c r="AK557" s="1757"/>
      <c r="AL557" s="1757"/>
      <c r="AM557" s="1757"/>
      <c r="AN557" s="1757"/>
      <c r="AO557" s="1757"/>
      <c r="AP557" s="1757"/>
      <c r="AQ557" s="1757"/>
      <c r="AR557" s="1757"/>
      <c r="AS557" s="1757"/>
      <c r="AT557" s="1493"/>
      <c r="AU557" s="1493"/>
      <c r="AV557" s="1493"/>
      <c r="AW557" s="1493"/>
      <c r="AX557" s="1493"/>
      <c r="AY557" s="149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837"/>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1920" t="s">
        <v>486</v>
      </c>
      <c r="C563" s="1943"/>
      <c r="D563" s="1943"/>
      <c r="E563" s="1943"/>
      <c r="F563" s="1943"/>
      <c r="G563" s="1943"/>
      <c r="H563" s="1943"/>
      <c r="I563" s="1943"/>
      <c r="J563" s="1943"/>
      <c r="K563" s="1943"/>
      <c r="L563" s="1943"/>
      <c r="M563" s="1943"/>
      <c r="N563" s="1943"/>
      <c r="O563" s="1943"/>
      <c r="P563" s="1944"/>
      <c r="Q563" s="1920" t="s">
        <v>2450</v>
      </c>
      <c r="R563" s="1921"/>
      <c r="S563" s="1922"/>
      <c r="T563" s="1920" t="s">
        <v>2448</v>
      </c>
      <c r="U563" s="1921"/>
      <c r="V563" s="1922"/>
      <c r="W563" s="1920" t="s">
        <v>487</v>
      </c>
      <c r="X563" s="1921"/>
      <c r="Y563" s="1922"/>
      <c r="Z563" s="1920" t="s">
        <v>2449</v>
      </c>
      <c r="AA563" s="1921"/>
      <c r="AB563" s="1921"/>
      <c r="AC563" s="1921"/>
      <c r="AD563" s="1921"/>
      <c r="AE563" s="1920" t="s">
        <v>2169</v>
      </c>
      <c r="AF563" s="1921"/>
      <c r="AG563" s="1921"/>
      <c r="AH563" s="1922"/>
      <c r="AI563" s="1920" t="s">
        <v>2170</v>
      </c>
      <c r="AJ563" s="1921"/>
      <c r="AK563" s="1921"/>
      <c r="AL563" s="1922"/>
      <c r="AM563" s="1920" t="s">
        <v>488</v>
      </c>
      <c r="AN563" s="1921"/>
      <c r="AO563" s="1921"/>
      <c r="AP563" s="1921"/>
      <c r="AQ563" s="1921"/>
      <c r="AR563" s="1921"/>
      <c r="AS563" s="192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1932" t="s">
        <v>2577</v>
      </c>
      <c r="D564" s="1932"/>
      <c r="E564" s="1932"/>
      <c r="F564" s="1932"/>
      <c r="G564" s="1932"/>
      <c r="H564" s="1932"/>
      <c r="I564" s="1932"/>
      <c r="J564" s="1932"/>
      <c r="K564" s="1932"/>
      <c r="L564" s="1932"/>
      <c r="M564" s="1932"/>
      <c r="N564" s="1932"/>
      <c r="O564" s="1932"/>
      <c r="P564" s="1933"/>
      <c r="Q564" s="1924">
        <v>23</v>
      </c>
      <c r="R564" s="1924"/>
      <c r="S564" s="1925"/>
      <c r="T564" s="1923" t="s">
        <v>2559</v>
      </c>
      <c r="U564" s="1924"/>
      <c r="V564" s="1925"/>
      <c r="W564" s="1929">
        <f>'[9]main spreadsheet'!$BT$12</f>
        <v>3.5000000000000003E-2</v>
      </c>
      <c r="X564" s="1930"/>
      <c r="Y564" s="1931"/>
      <c r="Z564" s="2395" t="s">
        <v>2462</v>
      </c>
      <c r="AA564" s="2395"/>
      <c r="AB564" s="2395"/>
      <c r="AC564" s="2395"/>
      <c r="AD564" s="2395"/>
      <c r="AE564" s="2229">
        <v>1</v>
      </c>
      <c r="AF564" s="2230"/>
      <c r="AG564" s="2230"/>
      <c r="AH564" s="2231"/>
      <c r="AI564" s="2329" t="s">
        <v>2561</v>
      </c>
      <c r="AJ564" s="2330"/>
      <c r="AK564" s="2330"/>
      <c r="AL564" s="2331"/>
      <c r="AM564" s="2094">
        <f>'[9]main spreadsheet'!$BO$12</f>
        <v>23656064.042769056</v>
      </c>
      <c r="AN564" s="2095"/>
      <c r="AO564" s="2095"/>
      <c r="AP564" s="2095"/>
      <c r="AQ564" s="2095"/>
      <c r="AR564" s="2095"/>
      <c r="AS564" s="2096"/>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32" t="s">
        <v>2578</v>
      </c>
      <c r="D565" s="1932"/>
      <c r="E565" s="1932"/>
      <c r="F565" s="1932"/>
      <c r="G565" s="1932"/>
      <c r="H565" s="1932"/>
      <c r="I565" s="1932"/>
      <c r="J565" s="1932"/>
      <c r="K565" s="1932"/>
      <c r="L565" s="1932"/>
      <c r="M565" s="1932"/>
      <c r="N565" s="1932"/>
      <c r="O565" s="1932"/>
      <c r="P565" s="1933"/>
      <c r="Q565" s="1923">
        <v>23</v>
      </c>
      <c r="R565" s="1924"/>
      <c r="S565" s="1925"/>
      <c r="T565" s="1923" t="s">
        <v>2559</v>
      </c>
      <c r="U565" s="1924"/>
      <c r="V565" s="1925"/>
      <c r="W565" s="1929">
        <f>'[9]main spreadsheet'!$BT$13</f>
        <v>3.7499999999999999E-2</v>
      </c>
      <c r="X565" s="1930"/>
      <c r="Y565" s="1931"/>
      <c r="Z565" s="2395" t="s">
        <v>2462</v>
      </c>
      <c r="AA565" s="2395"/>
      <c r="AB565" s="2395"/>
      <c r="AC565" s="2395"/>
      <c r="AD565" s="2395"/>
      <c r="AE565" s="2229">
        <v>1</v>
      </c>
      <c r="AF565" s="2230"/>
      <c r="AG565" s="2230"/>
      <c r="AH565" s="2231"/>
      <c r="AI565" s="2329" t="s">
        <v>2561</v>
      </c>
      <c r="AJ565" s="2330"/>
      <c r="AK565" s="2330"/>
      <c r="AL565" s="2331"/>
      <c r="AM565" s="2094">
        <f>'[9]main spreadsheet'!$BO$13</f>
        <v>1997359.7149306724</v>
      </c>
      <c r="AN565" s="2095"/>
      <c r="AO565" s="2095"/>
      <c r="AP565" s="2095"/>
      <c r="AQ565" s="2095"/>
      <c r="AR565" s="2095"/>
      <c r="AS565" s="209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932" t="s">
        <v>2548</v>
      </c>
      <c r="D566" s="1932"/>
      <c r="E566" s="1932"/>
      <c r="F566" s="1932"/>
      <c r="G566" s="1932"/>
      <c r="H566" s="1932"/>
      <c r="I566" s="1932"/>
      <c r="J566" s="1932"/>
      <c r="K566" s="1932"/>
      <c r="L566" s="1932"/>
      <c r="M566" s="1932"/>
      <c r="N566" s="1932"/>
      <c r="O566" s="1932"/>
      <c r="P566" s="1933"/>
      <c r="Q566" s="1923">
        <v>660</v>
      </c>
      <c r="R566" s="1924"/>
      <c r="S566" s="1925"/>
      <c r="T566" s="1923">
        <v>0</v>
      </c>
      <c r="U566" s="1924"/>
      <c r="V566" s="1925"/>
      <c r="W566" s="1929">
        <v>0.03</v>
      </c>
      <c r="X566" s="1930"/>
      <c r="Y566" s="1931"/>
      <c r="Z566" s="2395" t="s">
        <v>2461</v>
      </c>
      <c r="AA566" s="2395"/>
      <c r="AB566" s="2395"/>
      <c r="AC566" s="2395"/>
      <c r="AD566" s="2395"/>
      <c r="AE566" s="2229">
        <v>2</v>
      </c>
      <c r="AF566" s="2230"/>
      <c r="AG566" s="2230"/>
      <c r="AH566" s="2231"/>
      <c r="AI566" s="2329"/>
      <c r="AJ566" s="2330"/>
      <c r="AK566" s="2330"/>
      <c r="AL566" s="2331"/>
      <c r="AM566" s="2094">
        <f>'[9]main spreadsheet'!$BO$9</f>
        <v>5477743</v>
      </c>
      <c r="AN566" s="2095"/>
      <c r="AO566" s="2095"/>
      <c r="AP566" s="2095"/>
      <c r="AQ566" s="2095"/>
      <c r="AR566" s="2095"/>
      <c r="AS566" s="209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1932" t="s">
        <v>2552</v>
      </c>
      <c r="D567" s="1932"/>
      <c r="E567" s="1932"/>
      <c r="F567" s="1932"/>
      <c r="G567" s="1932"/>
      <c r="H567" s="1932"/>
      <c r="I567" s="1932"/>
      <c r="J567" s="1932"/>
      <c r="K567" s="1932"/>
      <c r="L567" s="1932"/>
      <c r="M567" s="1932"/>
      <c r="N567" s="1932"/>
      <c r="O567" s="1932"/>
      <c r="P567" s="1933"/>
      <c r="Q567" s="1923">
        <v>660</v>
      </c>
      <c r="R567" s="1924"/>
      <c r="S567" s="1925"/>
      <c r="T567" s="1923">
        <v>0</v>
      </c>
      <c r="U567" s="1924"/>
      <c r="V567" s="1925"/>
      <c r="W567" s="1929">
        <v>0.03</v>
      </c>
      <c r="X567" s="1930"/>
      <c r="Y567" s="1931"/>
      <c r="Z567" s="2395" t="s">
        <v>2461</v>
      </c>
      <c r="AA567" s="2395"/>
      <c r="AB567" s="2395"/>
      <c r="AC567" s="2395"/>
      <c r="AD567" s="2395"/>
      <c r="AE567" s="2229">
        <v>3</v>
      </c>
      <c r="AF567" s="2230"/>
      <c r="AG567" s="2230"/>
      <c r="AH567" s="2231"/>
      <c r="AI567" s="2329"/>
      <c r="AJ567" s="2330"/>
      <c r="AK567" s="2330"/>
      <c r="AL567" s="2331"/>
      <c r="AM567" s="2094">
        <f>'[9]main spreadsheet'!$BO$7</f>
        <v>4964384</v>
      </c>
      <c r="AN567" s="2095"/>
      <c r="AO567" s="2095"/>
      <c r="AP567" s="2095"/>
      <c r="AQ567" s="2095"/>
      <c r="AR567" s="2095"/>
      <c r="AS567" s="209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1932" t="s">
        <v>2560</v>
      </c>
      <c r="D568" s="1932"/>
      <c r="E568" s="1932"/>
      <c r="F568" s="1932"/>
      <c r="G568" s="1932"/>
      <c r="H568" s="1932"/>
      <c r="I568" s="1932"/>
      <c r="J568" s="1932"/>
      <c r="K568" s="1932"/>
      <c r="L568" s="1932"/>
      <c r="M568" s="1932"/>
      <c r="N568" s="1932"/>
      <c r="O568" s="1932"/>
      <c r="P568" s="1933"/>
      <c r="Q568" s="1923" t="s">
        <v>2559</v>
      </c>
      <c r="R568" s="1924"/>
      <c r="S568" s="1925"/>
      <c r="T568" s="1923"/>
      <c r="U568" s="1924"/>
      <c r="V568" s="1925"/>
      <c r="W568" s="1929" t="s">
        <v>2559</v>
      </c>
      <c r="X568" s="1930"/>
      <c r="Y568" s="1931"/>
      <c r="Z568" s="2395" t="s">
        <v>628</v>
      </c>
      <c r="AA568" s="2395"/>
      <c r="AB568" s="2395"/>
      <c r="AC568" s="2395"/>
      <c r="AD568" s="2395"/>
      <c r="AE568" s="2229"/>
      <c r="AF568" s="2230"/>
      <c r="AG568" s="2230"/>
      <c r="AH568" s="2231"/>
      <c r="AI568" s="2329"/>
      <c r="AJ568" s="2330"/>
      <c r="AK568" s="2330"/>
      <c r="AL568" s="2331"/>
      <c r="AM568" s="2094">
        <f>'[9]main spreadsheet'!$BO$15</f>
        <v>3300000</v>
      </c>
      <c r="AN568" s="2095"/>
      <c r="AO568" s="2095"/>
      <c r="AP568" s="2095"/>
      <c r="AQ568" s="2095"/>
      <c r="AR568" s="2095"/>
      <c r="AS568" s="209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1932" t="s">
        <v>2562</v>
      </c>
      <c r="D569" s="1932"/>
      <c r="E569" s="1932"/>
      <c r="F569" s="1932"/>
      <c r="G569" s="1932"/>
      <c r="H569" s="1932"/>
      <c r="I569" s="1932"/>
      <c r="J569" s="1932"/>
      <c r="K569" s="1932"/>
      <c r="L569" s="1932"/>
      <c r="M569" s="1932"/>
      <c r="N569" s="1932"/>
      <c r="O569" s="1932"/>
      <c r="P569" s="1933"/>
      <c r="Q569" s="1923" t="s">
        <v>2559</v>
      </c>
      <c r="R569" s="1924"/>
      <c r="S569" s="1925"/>
      <c r="T569" s="1923"/>
      <c r="U569" s="1924"/>
      <c r="V569" s="1925"/>
      <c r="W569" s="1929" t="s">
        <v>2559</v>
      </c>
      <c r="X569" s="1930"/>
      <c r="Y569" s="1931"/>
      <c r="Z569" s="2395" t="s">
        <v>628</v>
      </c>
      <c r="AA569" s="2395"/>
      <c r="AB569" s="2395"/>
      <c r="AC569" s="2395"/>
      <c r="AD569" s="2395"/>
      <c r="AE569" s="2229"/>
      <c r="AF569" s="2230"/>
      <c r="AG569" s="2230"/>
      <c r="AH569" s="2231"/>
      <c r="AI569" s="2329"/>
      <c r="AJ569" s="2330"/>
      <c r="AK569" s="2330"/>
      <c r="AL569" s="2331"/>
      <c r="AM569" s="2094">
        <f>'[9]main spreadsheet'!$CS$23</f>
        <v>2048500</v>
      </c>
      <c r="AN569" s="2095"/>
      <c r="AO569" s="2095"/>
      <c r="AP569" s="2095"/>
      <c r="AQ569" s="2095"/>
      <c r="AR569" s="2095"/>
      <c r="AS569" s="209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1932"/>
      <c r="D570" s="1932"/>
      <c r="E570" s="1932"/>
      <c r="F570" s="1932"/>
      <c r="G570" s="1932"/>
      <c r="H570" s="1932"/>
      <c r="I570" s="1932"/>
      <c r="J570" s="1932"/>
      <c r="K570" s="1932"/>
      <c r="L570" s="1932"/>
      <c r="M570" s="1932"/>
      <c r="N570" s="1932"/>
      <c r="O570" s="1932"/>
      <c r="P570" s="1933"/>
      <c r="Q570" s="1923"/>
      <c r="R570" s="1924"/>
      <c r="S570" s="1925"/>
      <c r="T570" s="1923"/>
      <c r="U570" s="1924"/>
      <c r="V570" s="1925"/>
      <c r="W570" s="1929"/>
      <c r="X570" s="1930"/>
      <c r="Y570" s="1931"/>
      <c r="Z570" s="2395" t="s">
        <v>1388</v>
      </c>
      <c r="AA570" s="2395"/>
      <c r="AB570" s="2395"/>
      <c r="AC570" s="2395"/>
      <c r="AD570" s="2395"/>
      <c r="AE570" s="2229"/>
      <c r="AF570" s="2230"/>
      <c r="AG570" s="2230"/>
      <c r="AH570" s="2231"/>
      <c r="AI570" s="2329"/>
      <c r="AJ570" s="2330"/>
      <c r="AK570" s="2330"/>
      <c r="AL570" s="2331"/>
      <c r="AM570" s="2094"/>
      <c r="AN570" s="2095"/>
      <c r="AO570" s="2095"/>
      <c r="AP570" s="2095"/>
      <c r="AQ570" s="2095"/>
      <c r="AR570" s="2095"/>
      <c r="AS570" s="209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1932"/>
      <c r="D571" s="1932"/>
      <c r="E571" s="1932"/>
      <c r="F571" s="1932"/>
      <c r="G571" s="1932"/>
      <c r="H571" s="1932"/>
      <c r="I571" s="1932"/>
      <c r="J571" s="1932"/>
      <c r="K571" s="1932"/>
      <c r="L571" s="1932"/>
      <c r="M571" s="1932"/>
      <c r="N571" s="1932"/>
      <c r="O571" s="1932"/>
      <c r="P571" s="1933"/>
      <c r="Q571" s="1923"/>
      <c r="R571" s="1924"/>
      <c r="S571" s="1925"/>
      <c r="T571" s="1923"/>
      <c r="U571" s="1924"/>
      <c r="V571" s="1925"/>
      <c r="W571" s="1929"/>
      <c r="X571" s="1930"/>
      <c r="Y571" s="1931"/>
      <c r="Z571" s="2395" t="s">
        <v>1388</v>
      </c>
      <c r="AA571" s="2395"/>
      <c r="AB571" s="2395"/>
      <c r="AC571" s="2395"/>
      <c r="AD571" s="2395"/>
      <c r="AE571" s="2229"/>
      <c r="AF571" s="2230"/>
      <c r="AG571" s="2230"/>
      <c r="AH571" s="2231"/>
      <c r="AI571" s="2329"/>
      <c r="AJ571" s="2330"/>
      <c r="AK571" s="2330"/>
      <c r="AL571" s="2331"/>
      <c r="AM571" s="2094"/>
      <c r="AN571" s="2095"/>
      <c r="AO571" s="2095"/>
      <c r="AP571" s="2095"/>
      <c r="AQ571" s="2095"/>
      <c r="AR571" s="2095"/>
      <c r="AS571" s="2096"/>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1932"/>
      <c r="D572" s="1932"/>
      <c r="E572" s="1932"/>
      <c r="F572" s="1932"/>
      <c r="G572" s="1932"/>
      <c r="H572" s="1932"/>
      <c r="I572" s="1932"/>
      <c r="J572" s="1932"/>
      <c r="K572" s="1932"/>
      <c r="L572" s="1932"/>
      <c r="M572" s="1932"/>
      <c r="N572" s="1932"/>
      <c r="O572" s="1932"/>
      <c r="P572" s="1933"/>
      <c r="Q572" s="1923"/>
      <c r="R572" s="1924"/>
      <c r="S572" s="1925"/>
      <c r="T572" s="1923"/>
      <c r="U572" s="1924"/>
      <c r="V572" s="1925"/>
      <c r="W572" s="1929"/>
      <c r="X572" s="1930"/>
      <c r="Y572" s="1931"/>
      <c r="Z572" s="2395" t="s">
        <v>1388</v>
      </c>
      <c r="AA572" s="2395"/>
      <c r="AB572" s="2395"/>
      <c r="AC572" s="2395"/>
      <c r="AD572" s="2395"/>
      <c r="AE572" s="2229"/>
      <c r="AF572" s="2230"/>
      <c r="AG572" s="2230"/>
      <c r="AH572" s="2231"/>
      <c r="AI572" s="2329"/>
      <c r="AJ572" s="2330"/>
      <c r="AK572" s="2330"/>
      <c r="AL572" s="2331"/>
      <c r="AM572" s="2094"/>
      <c r="AN572" s="2095"/>
      <c r="AO572" s="2095"/>
      <c r="AP572" s="2095"/>
      <c r="AQ572" s="2095"/>
      <c r="AR572" s="2095"/>
      <c r="AS572" s="2096"/>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1932"/>
      <c r="D573" s="1932"/>
      <c r="E573" s="1932"/>
      <c r="F573" s="1932"/>
      <c r="G573" s="1932"/>
      <c r="H573" s="1932"/>
      <c r="I573" s="1932"/>
      <c r="J573" s="1932"/>
      <c r="K573" s="1932"/>
      <c r="L573" s="1932"/>
      <c r="M573" s="1932"/>
      <c r="N573" s="1932"/>
      <c r="O573" s="1932"/>
      <c r="P573" s="1933"/>
      <c r="Q573" s="1923"/>
      <c r="R573" s="1924"/>
      <c r="S573" s="1925"/>
      <c r="T573" s="1923"/>
      <c r="U573" s="1924"/>
      <c r="V573" s="1925"/>
      <c r="W573" s="1929"/>
      <c r="X573" s="1930"/>
      <c r="Y573" s="1931"/>
      <c r="Z573" s="2395" t="s">
        <v>1388</v>
      </c>
      <c r="AA573" s="2395"/>
      <c r="AB573" s="2395"/>
      <c r="AC573" s="2395"/>
      <c r="AD573" s="2395"/>
      <c r="AE573" s="2229"/>
      <c r="AF573" s="2230"/>
      <c r="AG573" s="2230"/>
      <c r="AH573" s="2231"/>
      <c r="AI573" s="2329"/>
      <c r="AJ573" s="2330"/>
      <c r="AK573" s="2330"/>
      <c r="AL573" s="2331"/>
      <c r="AM573" s="2094"/>
      <c r="AN573" s="2095"/>
      <c r="AO573" s="2095"/>
      <c r="AP573" s="2095"/>
      <c r="AQ573" s="2095"/>
      <c r="AR573" s="2095"/>
      <c r="AS573" s="209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1932"/>
      <c r="D574" s="1932"/>
      <c r="E574" s="1932"/>
      <c r="F574" s="1932"/>
      <c r="G574" s="1932"/>
      <c r="H574" s="1932"/>
      <c r="I574" s="1932"/>
      <c r="J574" s="1932"/>
      <c r="K574" s="1932"/>
      <c r="L574" s="1932"/>
      <c r="M574" s="1932"/>
      <c r="N574" s="1932"/>
      <c r="O574" s="1932"/>
      <c r="P574" s="1933"/>
      <c r="Q574" s="1923"/>
      <c r="R574" s="1924"/>
      <c r="S574" s="1925"/>
      <c r="T574" s="1923"/>
      <c r="U574" s="1924"/>
      <c r="V574" s="1925"/>
      <c r="W574" s="1929"/>
      <c r="X574" s="1930"/>
      <c r="Y574" s="1931"/>
      <c r="Z574" s="2395" t="s">
        <v>1388</v>
      </c>
      <c r="AA574" s="2395"/>
      <c r="AB574" s="2395"/>
      <c r="AC574" s="2395"/>
      <c r="AD574" s="2395"/>
      <c r="AE574" s="2229"/>
      <c r="AF574" s="2230"/>
      <c r="AG574" s="2230"/>
      <c r="AH574" s="2231"/>
      <c r="AI574" s="2329"/>
      <c r="AJ574" s="2330"/>
      <c r="AK574" s="2330"/>
      <c r="AL574" s="2331"/>
      <c r="AM574" s="2094"/>
      <c r="AN574" s="2095"/>
      <c r="AO574" s="2095"/>
      <c r="AP574" s="2095"/>
      <c r="AQ574" s="2095"/>
      <c r="AR574" s="2095"/>
      <c r="AS574" s="209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1932"/>
      <c r="D575" s="1932"/>
      <c r="E575" s="1932"/>
      <c r="F575" s="1932"/>
      <c r="G575" s="1932"/>
      <c r="H575" s="1932"/>
      <c r="I575" s="1932"/>
      <c r="J575" s="1932"/>
      <c r="K575" s="1932"/>
      <c r="L575" s="1932"/>
      <c r="M575" s="1932"/>
      <c r="N575" s="1932"/>
      <c r="O575" s="1932"/>
      <c r="P575" s="1933"/>
      <c r="Q575" s="1923"/>
      <c r="R575" s="1924"/>
      <c r="S575" s="1925"/>
      <c r="T575" s="1923"/>
      <c r="U575" s="1924"/>
      <c r="V575" s="1925"/>
      <c r="W575" s="1929"/>
      <c r="X575" s="1930"/>
      <c r="Y575" s="1931"/>
      <c r="Z575" s="2395" t="s">
        <v>1388</v>
      </c>
      <c r="AA575" s="2395"/>
      <c r="AB575" s="2395"/>
      <c r="AC575" s="2395"/>
      <c r="AD575" s="2395"/>
      <c r="AE575" s="2229"/>
      <c r="AF575" s="2230"/>
      <c r="AG575" s="2230"/>
      <c r="AH575" s="2231"/>
      <c r="AI575" s="2329"/>
      <c r="AJ575" s="2330"/>
      <c r="AK575" s="2330"/>
      <c r="AL575" s="2331"/>
      <c r="AM575" s="2094"/>
      <c r="AN575" s="2095"/>
      <c r="AO575" s="2095"/>
      <c r="AP575" s="2095"/>
      <c r="AQ575" s="2095"/>
      <c r="AR575" s="2095"/>
      <c r="AS575" s="209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21" t="s">
        <v>132</v>
      </c>
      <c r="C576" s="2122"/>
      <c r="D576" s="2122"/>
      <c r="E576" s="2122"/>
      <c r="F576" s="2122"/>
      <c r="G576" s="2122"/>
      <c r="H576" s="2122"/>
      <c r="I576" s="2122"/>
      <c r="J576" s="2122"/>
      <c r="K576" s="2122"/>
      <c r="L576" s="2122"/>
      <c r="M576" s="2122"/>
      <c r="N576" s="2122"/>
      <c r="O576" s="2122"/>
      <c r="P576" s="2122"/>
      <c r="Q576" s="2122"/>
      <c r="R576" s="2122"/>
      <c r="S576" s="2122"/>
      <c r="T576" s="2122"/>
      <c r="U576" s="2281"/>
      <c r="V576" s="2122"/>
      <c r="W576" s="2122"/>
      <c r="X576" s="2122"/>
      <c r="Y576" s="2122"/>
      <c r="Z576" s="2122"/>
      <c r="AA576" s="2122"/>
      <c r="AB576" s="2122"/>
      <c r="AC576" s="2122"/>
      <c r="AD576" s="2122"/>
      <c r="AE576" s="2122"/>
      <c r="AF576" s="2122"/>
      <c r="AG576" s="2122"/>
      <c r="AH576" s="2122"/>
      <c r="AI576" s="2122"/>
      <c r="AJ576" s="2122"/>
      <c r="AK576" s="2122"/>
      <c r="AL576" s="2123"/>
      <c r="AM576" s="1914">
        <f>SUM(AM564:AS575)</f>
        <v>41444050.757699728</v>
      </c>
      <c r="AN576" s="1915"/>
      <c r="AO576" s="1915"/>
      <c r="AP576" s="1915"/>
      <c r="AQ576" s="1915"/>
      <c r="AR576" s="1915"/>
      <c r="AS576" s="191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156" t="str">
        <f>C564</f>
        <v>Chase Bank tax exempt construction loan</v>
      </c>
      <c r="H578" s="2156"/>
      <c r="I578" s="2156"/>
      <c r="J578" s="2156"/>
      <c r="K578" s="2156"/>
      <c r="L578" s="2156"/>
      <c r="M578" s="2156"/>
      <c r="N578" s="2156"/>
      <c r="O578" s="2156"/>
      <c r="P578" s="2156"/>
      <c r="Q578" s="2156"/>
      <c r="R578" s="2156"/>
      <c r="S578" s="14"/>
      <c r="T578" s="87" t="s">
        <v>118</v>
      </c>
      <c r="U578" s="12" t="s">
        <v>498</v>
      </c>
      <c r="Z578" s="2156" t="str">
        <f>C565</f>
        <v>Chase Bank taxable construction loan</v>
      </c>
      <c r="AA578" s="2156"/>
      <c r="AB578" s="2156"/>
      <c r="AC578" s="2156"/>
      <c r="AD578" s="2156"/>
      <c r="AE578" s="2156"/>
      <c r="AF578" s="2156"/>
      <c r="AG578" s="2156"/>
      <c r="AH578" s="2156"/>
      <c r="AI578" s="2156"/>
      <c r="AJ578" s="2156"/>
      <c r="AK578" s="215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34" t="s">
        <v>2585</v>
      </c>
      <c r="H579" s="1935"/>
      <c r="I579" s="1935"/>
      <c r="J579" s="1935"/>
      <c r="K579" s="1935"/>
      <c r="L579" s="1935"/>
      <c r="M579" s="1935"/>
      <c r="N579" s="1935"/>
      <c r="O579" s="1935"/>
      <c r="P579" s="1935"/>
      <c r="Q579" s="1935"/>
      <c r="R579" s="1935"/>
      <c r="S579" s="14"/>
      <c r="T579" s="35"/>
      <c r="U579" s="12" t="s">
        <v>90</v>
      </c>
      <c r="Z579" s="1934" t="s">
        <v>2585</v>
      </c>
      <c r="AA579" s="1935"/>
      <c r="AB579" s="1935"/>
      <c r="AC579" s="1935"/>
      <c r="AD579" s="1935"/>
      <c r="AE579" s="1935"/>
      <c r="AF579" s="1935"/>
      <c r="AG579" s="1935"/>
      <c r="AH579" s="1935"/>
      <c r="AI579" s="1935"/>
      <c r="AJ579" s="1935"/>
      <c r="AK579" s="1935"/>
      <c r="BB579" s="58"/>
      <c r="BC579" s="58"/>
      <c r="BD579" s="58"/>
      <c r="BE579" s="58"/>
      <c r="BF579" s="58"/>
      <c r="BG579" s="58"/>
      <c r="BH579" s="58" t="s">
        <v>489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1934" t="s">
        <v>2514</v>
      </c>
      <c r="H580" s="1935"/>
      <c r="I580" s="1935"/>
      <c r="J580" s="1935"/>
      <c r="K580" s="1935"/>
      <c r="L580" s="1935"/>
      <c r="M580" s="1935"/>
      <c r="N580" s="1935"/>
      <c r="O580" s="1935"/>
      <c r="P580" s="1935"/>
      <c r="Q580" s="1935"/>
      <c r="R580" s="1935"/>
      <c r="S580" s="88"/>
      <c r="T580" s="35"/>
      <c r="U580" s="12" t="s">
        <v>617</v>
      </c>
      <c r="Z580" s="1934" t="s">
        <v>2514</v>
      </c>
      <c r="AA580" s="1935"/>
      <c r="AB580" s="1935"/>
      <c r="AC580" s="1935"/>
      <c r="AD580" s="1935"/>
      <c r="AE580" s="1935"/>
      <c r="AF580" s="1935"/>
      <c r="AG580" s="1935"/>
      <c r="AH580" s="1935"/>
      <c r="AI580" s="1935"/>
      <c r="AJ580" s="1935"/>
      <c r="AK580" s="1935"/>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34" t="s">
        <v>2586</v>
      </c>
      <c r="H581" s="1935"/>
      <c r="I581" s="1935"/>
      <c r="J581" s="1935"/>
      <c r="K581" s="1935"/>
      <c r="L581" s="1935"/>
      <c r="M581" s="1935"/>
      <c r="N581" s="1935"/>
      <c r="O581" s="1935"/>
      <c r="P581" s="1935"/>
      <c r="Q581" s="1935"/>
      <c r="R581" s="1935"/>
      <c r="S581" s="14"/>
      <c r="T581" s="35"/>
      <c r="U581" s="12" t="s">
        <v>17</v>
      </c>
      <c r="Z581" s="1934" t="s">
        <v>2586</v>
      </c>
      <c r="AA581" s="1935"/>
      <c r="AB581" s="1935"/>
      <c r="AC581" s="1935"/>
      <c r="AD581" s="1935"/>
      <c r="AE581" s="1935"/>
      <c r="AF581" s="1935"/>
      <c r="AG581" s="1935"/>
      <c r="AH581" s="1935"/>
      <c r="AI581" s="1935"/>
      <c r="AJ581" s="1935"/>
      <c r="AK581" s="193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57">
        <v>4153156708</v>
      </c>
      <c r="H582" s="2157"/>
      <c r="I582" s="2157"/>
      <c r="J582" s="2157"/>
      <c r="K582" s="2157"/>
      <c r="L582" s="2157"/>
      <c r="O582" s="137" t="s">
        <v>212</v>
      </c>
      <c r="P582" s="1958"/>
      <c r="Q582" s="1958"/>
      <c r="R582" s="1958"/>
      <c r="S582" s="16"/>
      <c r="T582" s="35"/>
      <c r="U582" s="12" t="s">
        <v>327</v>
      </c>
      <c r="Z582" s="2157">
        <v>4153156708</v>
      </c>
      <c r="AA582" s="2157"/>
      <c r="AB582" s="2157"/>
      <c r="AC582" s="2157"/>
      <c r="AD582" s="2157"/>
      <c r="AE582" s="2157"/>
      <c r="AH582" s="137" t="s">
        <v>212</v>
      </c>
      <c r="AI582" s="1958"/>
      <c r="AJ582" s="1958"/>
      <c r="AK582" s="19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34" t="s">
        <v>2554</v>
      </c>
      <c r="I583" s="1935"/>
      <c r="J583" s="1935"/>
      <c r="K583" s="1935"/>
      <c r="L583" s="1935"/>
      <c r="M583" s="1935"/>
      <c r="N583" s="1935"/>
      <c r="O583" s="1935"/>
      <c r="P583" s="1935"/>
      <c r="Q583" s="1935"/>
      <c r="R583" s="1935"/>
      <c r="S583" s="14"/>
      <c r="T583" s="35"/>
      <c r="U583" s="12" t="s">
        <v>18</v>
      </c>
      <c r="AA583" s="1934" t="s">
        <v>2554</v>
      </c>
      <c r="AB583" s="1935"/>
      <c r="AC583" s="1935"/>
      <c r="AD583" s="1935"/>
      <c r="AE583" s="1935"/>
      <c r="AF583" s="1935"/>
      <c r="AG583" s="1935"/>
      <c r="AH583" s="1935"/>
      <c r="AI583" s="1935"/>
      <c r="AJ583" s="1935"/>
      <c r="AK583" s="193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3255" t="s">
        <v>2617</v>
      </c>
      <c r="N584" s="2311"/>
      <c r="O584" s="2311"/>
      <c r="P584" s="2311"/>
      <c r="Q584" s="2311"/>
      <c r="R584" s="2311"/>
      <c r="S584" s="14"/>
      <c r="T584" s="35"/>
      <c r="U584" s="510" t="s">
        <v>1389</v>
      </c>
      <c r="V584" s="720"/>
      <c r="W584" s="720"/>
      <c r="X584" s="720"/>
      <c r="Y584" s="720"/>
      <c r="Z584" s="720"/>
      <c r="AA584" s="14"/>
      <c r="AB584" s="14"/>
      <c r="AC584" s="14"/>
      <c r="AD584" s="14"/>
      <c r="AE584" s="14"/>
      <c r="AF584" s="3255" t="s">
        <v>2617</v>
      </c>
      <c r="AG584" s="2311"/>
      <c r="AH584" s="2311"/>
      <c r="AI584" s="2311"/>
      <c r="AJ584" s="2311"/>
      <c r="AK584" s="2311"/>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61" t="s">
        <v>580</v>
      </c>
      <c r="O585" s="1961"/>
      <c r="T585" s="35"/>
      <c r="U585" s="12" t="s">
        <v>20</v>
      </c>
      <c r="AG585" s="1961" t="s">
        <v>580</v>
      </c>
      <c r="AH585" s="196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156" t="str">
        <f>C566</f>
        <v>HCD Serna (19-FWHG-14443)</v>
      </c>
      <c r="H587" s="2156"/>
      <c r="I587" s="2156"/>
      <c r="J587" s="2156"/>
      <c r="K587" s="2156"/>
      <c r="L587" s="2156"/>
      <c r="M587" s="2156"/>
      <c r="N587" s="2156"/>
      <c r="O587" s="2156"/>
      <c r="P587" s="2156"/>
      <c r="Q587" s="2156"/>
      <c r="R587" s="2156"/>
      <c r="T587" s="87" t="s">
        <v>618</v>
      </c>
      <c r="U587" s="12" t="s">
        <v>498</v>
      </c>
      <c r="Z587" s="2156" t="str">
        <f>C567</f>
        <v>Sponsor loan - Monterey County TIF</v>
      </c>
      <c r="AA587" s="2156"/>
      <c r="AB587" s="2156"/>
      <c r="AC587" s="2156"/>
      <c r="AD587" s="2156"/>
      <c r="AE587" s="2156"/>
      <c r="AF587" s="2156"/>
      <c r="AG587" s="2156"/>
      <c r="AH587" s="2156"/>
      <c r="AI587" s="2156"/>
      <c r="AJ587" s="2156"/>
      <c r="AK587" s="215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35" t="s">
        <v>2549</v>
      </c>
      <c r="H588" s="1935"/>
      <c r="I588" s="1935"/>
      <c r="J588" s="1935"/>
      <c r="K588" s="1935"/>
      <c r="L588" s="1935"/>
      <c r="M588" s="1935"/>
      <c r="N588" s="1935"/>
      <c r="O588" s="1935"/>
      <c r="P588" s="1935"/>
      <c r="Q588" s="1935"/>
      <c r="R588" s="1935"/>
      <c r="T588" s="35"/>
      <c r="U588" s="12" t="s">
        <v>90</v>
      </c>
      <c r="Z588" s="1935" t="s">
        <v>2550</v>
      </c>
      <c r="AA588" s="1935"/>
      <c r="AB588" s="1935"/>
      <c r="AC588" s="1935"/>
      <c r="AD588" s="1935"/>
      <c r="AE588" s="1935"/>
      <c r="AF588" s="1935"/>
      <c r="AG588" s="1935"/>
      <c r="AH588" s="1935"/>
      <c r="AI588" s="1935"/>
      <c r="AJ588" s="1935"/>
      <c r="AK588" s="193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162" t="s">
        <v>2547</v>
      </c>
      <c r="H589" s="2162"/>
      <c r="I589" s="2162"/>
      <c r="J589" s="2162"/>
      <c r="K589" s="2162"/>
      <c r="L589" s="2162"/>
      <c r="M589" s="2162"/>
      <c r="N589" s="2162"/>
      <c r="O589" s="2162"/>
      <c r="P589" s="2162"/>
      <c r="Q589" s="2162"/>
      <c r="R589" s="2162"/>
      <c r="T589" s="35"/>
      <c r="U589" s="12" t="s">
        <v>617</v>
      </c>
      <c r="Z589" s="2162" t="s">
        <v>2551</v>
      </c>
      <c r="AA589" s="2162"/>
      <c r="AB589" s="2162"/>
      <c r="AC589" s="2162"/>
      <c r="AD589" s="2162"/>
      <c r="AE589" s="2162"/>
      <c r="AF589" s="2162"/>
      <c r="AG589" s="2162"/>
      <c r="AH589" s="2162"/>
      <c r="AI589" s="2162"/>
      <c r="AJ589" s="2162"/>
      <c r="AK589" s="216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62" t="s">
        <v>2546</v>
      </c>
      <c r="H590" s="2162"/>
      <c r="I590" s="2162"/>
      <c r="J590" s="2162"/>
      <c r="K590" s="2162"/>
      <c r="L590" s="2162"/>
      <c r="M590" s="2162"/>
      <c r="N590" s="2162"/>
      <c r="O590" s="2162"/>
      <c r="P590" s="2162"/>
      <c r="Q590" s="2162"/>
      <c r="R590" s="2162"/>
      <c r="T590" s="35"/>
      <c r="U590" s="12" t="s">
        <v>17</v>
      </c>
      <c r="Z590" s="1932" t="s">
        <v>2553</v>
      </c>
      <c r="AA590" s="2162"/>
      <c r="AB590" s="2162"/>
      <c r="AC590" s="2162"/>
      <c r="AD590" s="2162"/>
      <c r="AE590" s="2162"/>
      <c r="AF590" s="2162"/>
      <c r="AG590" s="2162"/>
      <c r="AH590" s="2162"/>
      <c r="AI590" s="2162"/>
      <c r="AJ590" s="2162"/>
      <c r="AK590" s="216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57">
        <v>9162635022</v>
      </c>
      <c r="H591" s="2157"/>
      <c r="I591" s="2157"/>
      <c r="J591" s="2157"/>
      <c r="K591" s="2157"/>
      <c r="L591" s="2157"/>
      <c r="O591" s="137" t="s">
        <v>212</v>
      </c>
      <c r="P591" s="1958"/>
      <c r="Q591" s="1958"/>
      <c r="R591" s="1958"/>
      <c r="T591" s="35"/>
      <c r="U591" s="12" t="s">
        <v>327</v>
      </c>
      <c r="Z591" s="2157">
        <v>8317555508</v>
      </c>
      <c r="AA591" s="2157"/>
      <c r="AB591" s="2157"/>
      <c r="AC591" s="2157"/>
      <c r="AD591" s="2157"/>
      <c r="AE591" s="2157"/>
      <c r="AH591" s="137" t="s">
        <v>212</v>
      </c>
      <c r="AI591" s="1958"/>
      <c r="AJ591" s="1958"/>
      <c r="AK591" s="19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34" t="s">
        <v>2587</v>
      </c>
      <c r="I592" s="1935"/>
      <c r="J592" s="1935"/>
      <c r="K592" s="1935"/>
      <c r="L592" s="1935"/>
      <c r="M592" s="1935"/>
      <c r="N592" s="1935"/>
      <c r="O592" s="1935"/>
      <c r="P592" s="1935"/>
      <c r="Q592" s="1935"/>
      <c r="R592" s="1935"/>
      <c r="T592" s="35"/>
      <c r="U592" s="12" t="s">
        <v>18</v>
      </c>
      <c r="AA592" s="1934" t="s">
        <v>2587</v>
      </c>
      <c r="AB592" s="1935"/>
      <c r="AC592" s="1935"/>
      <c r="AD592" s="1935"/>
      <c r="AE592" s="1935"/>
      <c r="AF592" s="1935"/>
      <c r="AG592" s="1935"/>
      <c r="AH592" s="1935"/>
      <c r="AI592" s="1935"/>
      <c r="AJ592" s="1935"/>
      <c r="AK592" s="193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61" t="s">
        <v>580</v>
      </c>
      <c r="O593" s="1961"/>
      <c r="T593" s="35"/>
      <c r="U593" s="12" t="s">
        <v>20</v>
      </c>
      <c r="AG593" s="1961" t="s">
        <v>580</v>
      </c>
      <c r="AH593" s="196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156" t="str">
        <f>C568</f>
        <v>GP equity - land donated from master developer</v>
      </c>
      <c r="H595" s="2156"/>
      <c r="I595" s="2156"/>
      <c r="J595" s="2156"/>
      <c r="K595" s="2156"/>
      <c r="L595" s="2156"/>
      <c r="M595" s="2156"/>
      <c r="N595" s="2156"/>
      <c r="O595" s="2156"/>
      <c r="P595" s="2156"/>
      <c r="Q595" s="2156"/>
      <c r="R595" s="2156"/>
      <c r="T595" s="87" t="s">
        <v>621</v>
      </c>
      <c r="U595" s="12" t="s">
        <v>498</v>
      </c>
      <c r="Z595" s="2156" t="str">
        <f>C569</f>
        <v>LP equity available for construction</v>
      </c>
      <c r="AA595" s="2156"/>
      <c r="AB595" s="2156"/>
      <c r="AC595" s="2156"/>
      <c r="AD595" s="2156"/>
      <c r="AE595" s="2156"/>
      <c r="AF595" s="2156"/>
      <c r="AG595" s="2156"/>
      <c r="AH595" s="2156"/>
      <c r="AI595" s="2156"/>
      <c r="AJ595" s="2156"/>
      <c r="AK595" s="215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34" t="s">
        <v>2490</v>
      </c>
      <c r="H596" s="1935"/>
      <c r="I596" s="1935"/>
      <c r="J596" s="1935"/>
      <c r="K596" s="1935"/>
      <c r="L596" s="1935"/>
      <c r="M596" s="1935"/>
      <c r="N596" s="1935"/>
      <c r="O596" s="1935"/>
      <c r="P596" s="1935"/>
      <c r="Q596" s="1935"/>
      <c r="R596" s="1935"/>
      <c r="T596" s="35"/>
      <c r="U596" s="12" t="s">
        <v>90</v>
      </c>
      <c r="Z596" s="1934"/>
      <c r="AA596" s="1935"/>
      <c r="AB596" s="1935"/>
      <c r="AC596" s="1935"/>
      <c r="AD596" s="1935"/>
      <c r="AE596" s="1935"/>
      <c r="AF596" s="1935"/>
      <c r="AG596" s="1935"/>
      <c r="AH596" s="1935"/>
      <c r="AI596" s="1935"/>
      <c r="AJ596" s="1935"/>
      <c r="AK596" s="193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1934" t="s">
        <v>2501</v>
      </c>
      <c r="H597" s="1935"/>
      <c r="I597" s="1935"/>
      <c r="J597" s="1935"/>
      <c r="K597" s="1935"/>
      <c r="L597" s="1935"/>
      <c r="M597" s="1935"/>
      <c r="N597" s="1935"/>
      <c r="O597" s="1935"/>
      <c r="P597" s="1935"/>
      <c r="Q597" s="1935"/>
      <c r="R597" s="1935"/>
      <c r="T597" s="35"/>
      <c r="U597" s="12" t="s">
        <v>617</v>
      </c>
      <c r="Z597" s="1934"/>
      <c r="AA597" s="1935"/>
      <c r="AB597" s="1935"/>
      <c r="AC597" s="1935"/>
      <c r="AD597" s="1935"/>
      <c r="AE597" s="1935"/>
      <c r="AF597" s="1935"/>
      <c r="AG597" s="1935"/>
      <c r="AH597" s="1935"/>
      <c r="AI597" s="1935"/>
      <c r="AJ597" s="1935"/>
      <c r="AK597" s="193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34" t="s">
        <v>2590</v>
      </c>
      <c r="H598" s="1935"/>
      <c r="I598" s="1935"/>
      <c r="J598" s="1935"/>
      <c r="K598" s="1935"/>
      <c r="L598" s="1935"/>
      <c r="M598" s="1935"/>
      <c r="N598" s="1935"/>
      <c r="O598" s="1935"/>
      <c r="P598" s="1935"/>
      <c r="Q598" s="1935"/>
      <c r="R598" s="1935"/>
      <c r="T598" s="35"/>
      <c r="U598" s="12" t="s">
        <v>17</v>
      </c>
      <c r="Z598" s="1934"/>
      <c r="AA598" s="1935"/>
      <c r="AB598" s="1935"/>
      <c r="AC598" s="1935"/>
      <c r="AD598" s="1935"/>
      <c r="AE598" s="1935"/>
      <c r="AF598" s="1935"/>
      <c r="AG598" s="1935"/>
      <c r="AH598" s="1935"/>
      <c r="AI598" s="1935"/>
      <c r="AJ598" s="1935"/>
      <c r="AK598" s="193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57">
        <v>8317576251</v>
      </c>
      <c r="H599" s="2157"/>
      <c r="I599" s="2157"/>
      <c r="J599" s="2157"/>
      <c r="K599" s="2157"/>
      <c r="L599" s="2157"/>
      <c r="O599" s="137" t="s">
        <v>212</v>
      </c>
      <c r="P599" s="1958">
        <v>130</v>
      </c>
      <c r="Q599" s="1958"/>
      <c r="R599" s="1958"/>
      <c r="T599" s="35"/>
      <c r="U599" s="12" t="s">
        <v>327</v>
      </c>
      <c r="Z599" s="2157"/>
      <c r="AA599" s="2157"/>
      <c r="AB599" s="2157"/>
      <c r="AC599" s="2157"/>
      <c r="AD599" s="2157"/>
      <c r="AE599" s="2157"/>
      <c r="AH599" s="137" t="s">
        <v>212</v>
      </c>
      <c r="AI599" s="1958"/>
      <c r="AJ599" s="1958"/>
      <c r="AK599" s="19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34" t="s">
        <v>2554</v>
      </c>
      <c r="I600" s="1935"/>
      <c r="J600" s="1935"/>
      <c r="K600" s="1935"/>
      <c r="L600" s="1935"/>
      <c r="M600" s="1935"/>
      <c r="N600" s="1935"/>
      <c r="O600" s="1935"/>
      <c r="P600" s="1935"/>
      <c r="Q600" s="1935"/>
      <c r="R600" s="1935"/>
      <c r="T600" s="35"/>
      <c r="U600" s="12" t="s">
        <v>18</v>
      </c>
      <c r="AA600" s="1934" t="s">
        <v>2554</v>
      </c>
      <c r="AB600" s="1935"/>
      <c r="AC600" s="1935"/>
      <c r="AD600" s="1935"/>
      <c r="AE600" s="1935"/>
      <c r="AF600" s="1935"/>
      <c r="AG600" s="1935"/>
      <c r="AH600" s="1935"/>
      <c r="AI600" s="1935"/>
      <c r="AJ600" s="1935"/>
      <c r="AK600" s="193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61" t="s">
        <v>580</v>
      </c>
      <c r="O601" s="1961"/>
      <c r="T601" s="35"/>
      <c r="U601" s="12" t="s">
        <v>20</v>
      </c>
      <c r="AG601" s="1961" t="s">
        <v>708</v>
      </c>
      <c r="AH601" s="196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156">
        <f>C570</f>
        <v>0</v>
      </c>
      <c r="H603" s="2156"/>
      <c r="I603" s="2156"/>
      <c r="J603" s="2156"/>
      <c r="K603" s="2156"/>
      <c r="L603" s="2156"/>
      <c r="M603" s="2156"/>
      <c r="N603" s="2156"/>
      <c r="O603" s="2156"/>
      <c r="P603" s="2156"/>
      <c r="Q603" s="2156"/>
      <c r="R603" s="2156"/>
      <c r="T603" s="87" t="s">
        <v>490</v>
      </c>
      <c r="U603" s="12" t="s">
        <v>498</v>
      </c>
      <c r="Z603" s="2156">
        <f>C571</f>
        <v>0</v>
      </c>
      <c r="AA603" s="2156"/>
      <c r="AB603" s="2156"/>
      <c r="AC603" s="2156"/>
      <c r="AD603" s="2156"/>
      <c r="AE603" s="2156"/>
      <c r="AF603" s="2156"/>
      <c r="AG603" s="2156"/>
      <c r="AH603" s="2156"/>
      <c r="AI603" s="2156"/>
      <c r="AJ603" s="2156"/>
      <c r="AK603" s="215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34"/>
      <c r="H604" s="1935"/>
      <c r="I604" s="1935"/>
      <c r="J604" s="1935"/>
      <c r="K604" s="1935"/>
      <c r="L604" s="1935"/>
      <c r="M604" s="1935"/>
      <c r="N604" s="1935"/>
      <c r="O604" s="1935"/>
      <c r="P604" s="1935"/>
      <c r="Q604" s="1935"/>
      <c r="R604" s="1935"/>
      <c r="T604" s="35"/>
      <c r="U604" s="12" t="s">
        <v>90</v>
      </c>
      <c r="Z604" s="1935"/>
      <c r="AA604" s="1935"/>
      <c r="AB604" s="1935"/>
      <c r="AC604" s="1935"/>
      <c r="AD604" s="1935"/>
      <c r="AE604" s="1935"/>
      <c r="AF604" s="1935"/>
      <c r="AG604" s="1935"/>
      <c r="AH604" s="1935"/>
      <c r="AI604" s="1935"/>
      <c r="AJ604" s="1935"/>
      <c r="AK604" s="193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1934"/>
      <c r="H605" s="1935"/>
      <c r="I605" s="1935"/>
      <c r="J605" s="1935"/>
      <c r="K605" s="1935"/>
      <c r="L605" s="1935"/>
      <c r="M605" s="1935"/>
      <c r="N605" s="1935"/>
      <c r="O605" s="1935"/>
      <c r="P605" s="1935"/>
      <c r="Q605" s="1935"/>
      <c r="R605" s="1935"/>
      <c r="T605" s="35"/>
      <c r="U605" s="12" t="s">
        <v>617</v>
      </c>
      <c r="Z605" s="2162"/>
      <c r="AA605" s="2162"/>
      <c r="AB605" s="2162"/>
      <c r="AC605" s="2162"/>
      <c r="AD605" s="2162"/>
      <c r="AE605" s="2162"/>
      <c r="AF605" s="2162"/>
      <c r="AG605" s="2162"/>
      <c r="AH605" s="2162"/>
      <c r="AI605" s="2162"/>
      <c r="AJ605" s="2162"/>
      <c r="AK605" s="216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34"/>
      <c r="H606" s="1935"/>
      <c r="I606" s="1935"/>
      <c r="J606" s="1935"/>
      <c r="K606" s="1935"/>
      <c r="L606" s="1935"/>
      <c r="M606" s="1935"/>
      <c r="N606" s="1935"/>
      <c r="O606" s="1935"/>
      <c r="P606" s="1935"/>
      <c r="Q606" s="1935"/>
      <c r="R606" s="1935"/>
      <c r="T606" s="35"/>
      <c r="U606" s="12" t="s">
        <v>17</v>
      </c>
      <c r="Z606" s="2162"/>
      <c r="AA606" s="2162"/>
      <c r="AB606" s="2162"/>
      <c r="AC606" s="2162"/>
      <c r="AD606" s="2162"/>
      <c r="AE606" s="2162"/>
      <c r="AF606" s="2162"/>
      <c r="AG606" s="2162"/>
      <c r="AH606" s="2162"/>
      <c r="AI606" s="2162"/>
      <c r="AJ606" s="2162"/>
      <c r="AK606" s="216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157"/>
      <c r="H607" s="2157"/>
      <c r="I607" s="2157"/>
      <c r="J607" s="2157"/>
      <c r="K607" s="2157"/>
      <c r="L607" s="2157"/>
      <c r="M607" s="12"/>
      <c r="N607" s="12"/>
      <c r="O607" s="137" t="s">
        <v>212</v>
      </c>
      <c r="P607" s="1958"/>
      <c r="Q607" s="1958"/>
      <c r="R607" s="1958"/>
      <c r="S607" s="12"/>
      <c r="T607" s="35"/>
      <c r="U607" s="12" t="s">
        <v>327</v>
      </c>
      <c r="V607" s="12"/>
      <c r="W607" s="12"/>
      <c r="X607" s="12"/>
      <c r="Y607" s="12"/>
      <c r="Z607" s="2157"/>
      <c r="AA607" s="2157"/>
      <c r="AB607" s="2157"/>
      <c r="AC607" s="2157"/>
      <c r="AD607" s="2157"/>
      <c r="AE607" s="2157"/>
      <c r="AF607" s="12"/>
      <c r="AG607" s="12"/>
      <c r="AH607" s="137" t="s">
        <v>212</v>
      </c>
      <c r="AI607" s="1958"/>
      <c r="AJ607" s="1958"/>
      <c r="AK607" s="195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34"/>
      <c r="I608" s="1935"/>
      <c r="J608" s="1935"/>
      <c r="K608" s="1935"/>
      <c r="L608" s="1935"/>
      <c r="M608" s="1935"/>
      <c r="N608" s="1935"/>
      <c r="O608" s="1935"/>
      <c r="P608" s="1935"/>
      <c r="Q608" s="1935"/>
      <c r="R608" s="1935"/>
      <c r="S608" s="12"/>
      <c r="T608" s="35"/>
      <c r="U608" s="12" t="s">
        <v>18</v>
      </c>
      <c r="V608" s="12"/>
      <c r="W608" s="12"/>
      <c r="X608" s="12"/>
      <c r="Y608" s="12"/>
      <c r="Z608" s="12"/>
      <c r="AA608" s="1935"/>
      <c r="AB608" s="1935"/>
      <c r="AC608" s="1935"/>
      <c r="AD608" s="1935"/>
      <c r="AE608" s="1935"/>
      <c r="AF608" s="1935"/>
      <c r="AG608" s="1935"/>
      <c r="AH608" s="1935"/>
      <c r="AI608" s="1935"/>
      <c r="AJ608" s="1935"/>
      <c r="AK608" s="193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61" t="s">
        <v>580</v>
      </c>
      <c r="O609" s="1961"/>
      <c r="P609" s="12"/>
      <c r="Q609" s="12"/>
      <c r="R609" s="12"/>
      <c r="S609" s="12"/>
      <c r="T609" s="35"/>
      <c r="U609" s="12" t="s">
        <v>20</v>
      </c>
      <c r="V609" s="12"/>
      <c r="W609" s="12"/>
      <c r="X609" s="12"/>
      <c r="Y609" s="12"/>
      <c r="Z609" s="12"/>
      <c r="AA609" s="12"/>
      <c r="AB609" s="12"/>
      <c r="AC609" s="12"/>
      <c r="AD609" s="12"/>
      <c r="AE609" s="12"/>
      <c r="AF609" s="12"/>
      <c r="AG609" s="1961" t="s">
        <v>708</v>
      </c>
      <c r="AH609" s="1961"/>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1902"/>
      <c r="BH609" s="1904"/>
      <c r="BI609" s="185" t="s">
        <v>510</v>
      </c>
      <c r="BJ609" s="186"/>
      <c r="BK609" s="1902"/>
      <c r="BL609" s="1904"/>
      <c r="BM609" s="58"/>
      <c r="BN609" s="2044" t="s">
        <v>670</v>
      </c>
      <c r="BO609" s="2045"/>
      <c r="BP609" s="2045"/>
      <c r="BQ609" s="2045"/>
      <c r="BR609" s="2046"/>
      <c r="BS609" s="1960" t="s">
        <v>336</v>
      </c>
      <c r="BT609" s="1960"/>
      <c r="BU609" s="1960"/>
      <c r="BV609" s="1960"/>
      <c r="BW609" s="1960"/>
      <c r="BX609" s="1960" t="s">
        <v>168</v>
      </c>
      <c r="BY609" s="1960"/>
      <c r="BZ609" s="1960"/>
      <c r="CA609" s="1960"/>
      <c r="CB609" s="1960"/>
      <c r="CC609" s="1960" t="s">
        <v>169</v>
      </c>
      <c r="CD609" s="1960"/>
      <c r="CE609" s="1960"/>
      <c r="CF609" s="1960"/>
      <c r="CG609" s="1960"/>
      <c r="CH609" s="1960" t="s">
        <v>495</v>
      </c>
      <c r="CI609" s="1960"/>
      <c r="CJ609" s="1960"/>
      <c r="CK609" s="1960"/>
      <c r="CL609" s="1960"/>
      <c r="CM609" s="1960" t="s">
        <v>31</v>
      </c>
      <c r="CN609" s="1960"/>
      <c r="CO609" s="1960"/>
      <c r="CP609" s="1960"/>
      <c r="CQ609" s="1960"/>
      <c r="CR609" s="1665"/>
      <c r="CS609" s="1960" t="s">
        <v>670</v>
      </c>
      <c r="CT609" s="1960"/>
      <c r="CU609" s="1960"/>
      <c r="CV609" s="1960"/>
      <c r="CW609" s="1960"/>
      <c r="CX609" s="1960" t="s">
        <v>336</v>
      </c>
      <c r="CY609" s="1960"/>
      <c r="CZ609" s="1960"/>
      <c r="DA609" s="1960"/>
      <c r="DB609" s="1960"/>
      <c r="DC609" s="1960" t="s">
        <v>168</v>
      </c>
      <c r="DD609" s="1960"/>
      <c r="DE609" s="1960"/>
      <c r="DF609" s="1960"/>
      <c r="DG609" s="1960"/>
      <c r="DH609" s="1960" t="s">
        <v>169</v>
      </c>
      <c r="DI609" s="1960"/>
      <c r="DJ609" s="1960"/>
      <c r="DK609" s="1960"/>
      <c r="DL609" s="1960"/>
      <c r="DM609" s="1960" t="s">
        <v>495</v>
      </c>
      <c r="DN609" s="1960"/>
      <c r="DO609" s="1960"/>
      <c r="DP609" s="1960"/>
      <c r="DQ609" s="1960"/>
      <c r="DR609" s="1960" t="s">
        <v>31</v>
      </c>
      <c r="DS609" s="1960"/>
      <c r="DT609" s="1960"/>
      <c r="DU609" s="1960"/>
      <c r="DV609" s="1960"/>
      <c r="DX609" s="1960" t="s">
        <v>670</v>
      </c>
      <c r="DY609" s="1960"/>
      <c r="DZ609" s="1960"/>
      <c r="EA609" s="1960"/>
      <c r="EB609" s="1960"/>
      <c r="EC609" s="1960" t="s">
        <v>336</v>
      </c>
      <c r="ED609" s="1960"/>
      <c r="EE609" s="1960"/>
      <c r="EF609" s="1960"/>
      <c r="EG609" s="1960"/>
      <c r="EH609" s="1960" t="s">
        <v>168</v>
      </c>
      <c r="EI609" s="1960"/>
      <c r="EJ609" s="1960"/>
      <c r="EK609" s="1960"/>
      <c r="EL609" s="1960"/>
      <c r="EM609" s="1960" t="s">
        <v>169</v>
      </c>
      <c r="EN609" s="1960"/>
      <c r="EO609" s="1960"/>
      <c r="EP609" s="1960"/>
      <c r="EQ609" s="1960"/>
      <c r="ER609" s="1960" t="s">
        <v>495</v>
      </c>
      <c r="ES609" s="1960"/>
      <c r="ET609" s="1960"/>
      <c r="EU609" s="1960"/>
      <c r="EV609" s="1960"/>
      <c r="EW609" s="1960" t="s">
        <v>31</v>
      </c>
      <c r="EX609" s="1960"/>
      <c r="EY609" s="1960"/>
      <c r="EZ609" s="1960"/>
      <c r="FA609" s="196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1917">
        <f t="shared" ref="BE610:BE634" si="0">IF(AND(AH728&lt;=0.5,AH728&gt;=0.36),1,0)</f>
        <v>0</v>
      </c>
      <c r="BF610" s="1919"/>
      <c r="BG610" s="1902">
        <f t="shared" ref="BG610:BG634" si="1">IF(BE610=1,G728,0)</f>
        <v>0</v>
      </c>
      <c r="BH610" s="1904"/>
      <c r="BI610" s="1917">
        <f t="shared" ref="BI610:BI634" si="2">IF(AND(AH728&lt;=0.35,AH728&gt;0),1,0)</f>
        <v>1</v>
      </c>
      <c r="BJ610" s="1919"/>
      <c r="BK610" s="1902">
        <f t="shared" ref="BK610:BK634" si="3">IF(BI610=1,G728,0)</f>
        <v>1</v>
      </c>
      <c r="BL610" s="1904"/>
      <c r="BM610" s="58"/>
      <c r="BN610" s="1902">
        <f t="shared" ref="BN610:BN634" si="4">IF(B728="SRO/Studio",G728,0)</f>
        <v>0</v>
      </c>
      <c r="BO610" s="1903"/>
      <c r="BP610" s="1903"/>
      <c r="BQ610" s="1903"/>
      <c r="BR610" s="1904"/>
      <c r="BS610" s="1901">
        <f t="shared" ref="BS610:BS634" si="5">IF(B728="1 Bedroom",G728,0)</f>
        <v>1</v>
      </c>
      <c r="BT610" s="1901"/>
      <c r="BU610" s="1901"/>
      <c r="BV610" s="1901"/>
      <c r="BW610" s="1901"/>
      <c r="BX610" s="1901">
        <f t="shared" ref="BX610:BX634" si="6">IF(B728="2 Bedrooms",G728,0)</f>
        <v>0</v>
      </c>
      <c r="BY610" s="1901"/>
      <c r="BZ610" s="1901"/>
      <c r="CA610" s="1901"/>
      <c r="CB610" s="1901"/>
      <c r="CC610" s="1901">
        <f t="shared" ref="CC610:CC634" si="7">IF(B728="3 Bedrooms",G728,0)</f>
        <v>0</v>
      </c>
      <c r="CD610" s="1901"/>
      <c r="CE610" s="1901"/>
      <c r="CF610" s="1901"/>
      <c r="CG610" s="1901"/>
      <c r="CH610" s="1901">
        <f t="shared" ref="CH610:CH634" si="8">IF(B728="4 Bedrooms",G728,0)</f>
        <v>0</v>
      </c>
      <c r="CI610" s="1901"/>
      <c r="CJ610" s="1901"/>
      <c r="CK610" s="1901"/>
      <c r="CL610" s="1901"/>
      <c r="CM610" s="1901">
        <f t="shared" ref="CM610:CM634" si="9">IF(B728="5 Bedrooms",G728,0)</f>
        <v>0</v>
      </c>
      <c r="CN610" s="1901"/>
      <c r="CO610" s="1901"/>
      <c r="CP610" s="1901"/>
      <c r="CQ610" s="1901"/>
      <c r="CR610" s="265"/>
      <c r="CS610" s="2219">
        <f t="shared" ref="CS610:CS634" si="10">IF(AND(B728="SRO/Studio",AH728&lt;=0.3),G728,0)</f>
        <v>0</v>
      </c>
      <c r="CT610" s="2219"/>
      <c r="CU610" s="2219"/>
      <c r="CV610" s="2219"/>
      <c r="CW610" s="2219"/>
      <c r="CX610" s="2219">
        <f t="shared" ref="CX610:CX634" si="11">IF(AND(B728="1 Bedroom",AH728&lt;=0.3),G728,0)</f>
        <v>1</v>
      </c>
      <c r="CY610" s="2219"/>
      <c r="CZ610" s="2219"/>
      <c r="DA610" s="2219"/>
      <c r="DB610" s="2219"/>
      <c r="DC610" s="2219">
        <f t="shared" ref="DC610:DC634" si="12">IF(AND(B728="2 Bedrooms",AH728&lt;=0.3),G728,0)</f>
        <v>0</v>
      </c>
      <c r="DD610" s="2219"/>
      <c r="DE610" s="2219"/>
      <c r="DF610" s="2219"/>
      <c r="DG610" s="2219"/>
      <c r="DH610" s="2219">
        <f t="shared" ref="DH610:DH634" si="13">IF(AND(B728="3 Bedrooms",AH728&lt;=0.3),G728,0)</f>
        <v>0</v>
      </c>
      <c r="DI610" s="2219"/>
      <c r="DJ610" s="2219"/>
      <c r="DK610" s="2219"/>
      <c r="DL610" s="2219"/>
      <c r="DM610" s="2219">
        <f t="shared" ref="DM610:DM634" si="14">IF(AND(B728="4 Bedrooms",AH728&lt;=0.3),G728,0)</f>
        <v>0</v>
      </c>
      <c r="DN610" s="2219"/>
      <c r="DO610" s="2219"/>
      <c r="DP610" s="2219"/>
      <c r="DQ610" s="2219"/>
      <c r="DR610" s="2219">
        <f t="shared" ref="DR610:DR634" si="15">IF(AND(B728="5 Bedrooms",AH728&lt;=0.3),G728,0)</f>
        <v>0</v>
      </c>
      <c r="DS610" s="2219"/>
      <c r="DT610" s="2219"/>
      <c r="DU610" s="2219"/>
      <c r="DV610" s="2219"/>
      <c r="DX610" s="1917" t="str">
        <f t="shared" ref="DX610:DX634" si="16">IF(BN610&gt;0,O728," ")</f>
        <v xml:space="preserve"> </v>
      </c>
      <c r="DY610" s="1918"/>
      <c r="DZ610" s="1918"/>
      <c r="EA610" s="1918"/>
      <c r="EB610" s="1919"/>
      <c r="EC610" s="1917">
        <f t="shared" ref="EC610:EC634" si="17">IF(BS610&gt;0,O728," ")</f>
        <v>421</v>
      </c>
      <c r="ED610" s="1918"/>
      <c r="EE610" s="1918"/>
      <c r="EF610" s="1918"/>
      <c r="EG610" s="1919"/>
      <c r="EH610" s="1917" t="str">
        <f t="shared" ref="EH610:EH634" si="18">IF(BX610&gt;0,O728," ")</f>
        <v xml:space="preserve"> </v>
      </c>
      <c r="EI610" s="1918"/>
      <c r="EJ610" s="1918"/>
      <c r="EK610" s="1918"/>
      <c r="EL610" s="1919"/>
      <c r="EM610" s="1917" t="str">
        <f t="shared" ref="EM610:EM634" si="19">IF(CC610&gt;0,O728," ")</f>
        <v xml:space="preserve"> </v>
      </c>
      <c r="EN610" s="1918"/>
      <c r="EO610" s="1918"/>
      <c r="EP610" s="1918"/>
      <c r="EQ610" s="1919"/>
      <c r="ER610" s="1917" t="str">
        <f t="shared" ref="ER610:ER634" si="20">IF(CH610&gt;0,O728," ")</f>
        <v xml:space="preserve"> </v>
      </c>
      <c r="ES610" s="1918"/>
      <c r="ET610" s="1918"/>
      <c r="EU610" s="1918"/>
      <c r="EV610" s="1919"/>
      <c r="EW610" s="1917" t="str">
        <f t="shared" ref="EW610:EW634" si="21">IF(CM610&gt;0,O728," ")</f>
        <v xml:space="preserve"> </v>
      </c>
      <c r="EX610" s="1918"/>
      <c r="EY610" s="1918"/>
      <c r="EZ610" s="1918"/>
      <c r="FA610" s="1919"/>
    </row>
    <row r="611" spans="1:157" s="7" customFormat="1" ht="12.75">
      <c r="A611" s="87" t="s">
        <v>496</v>
      </c>
      <c r="B611" s="12" t="s">
        <v>498</v>
      </c>
      <c r="C611" s="12"/>
      <c r="D611" s="12"/>
      <c r="E611" s="12"/>
      <c r="F611" s="12"/>
      <c r="G611" s="2156">
        <f>C572</f>
        <v>0</v>
      </c>
      <c r="H611" s="2156"/>
      <c r="I611" s="2156"/>
      <c r="J611" s="2156"/>
      <c r="K611" s="2156"/>
      <c r="L611" s="2156"/>
      <c r="M611" s="2156"/>
      <c r="N611" s="2156"/>
      <c r="O611" s="2156"/>
      <c r="P611" s="2156"/>
      <c r="Q611" s="2156"/>
      <c r="R611" s="2156"/>
      <c r="S611" s="12"/>
      <c r="T611" s="87" t="s">
        <v>683</v>
      </c>
      <c r="U611" s="12" t="s">
        <v>498</v>
      </c>
      <c r="V611" s="12"/>
      <c r="W611" s="12"/>
      <c r="X611" s="12"/>
      <c r="Y611" s="12"/>
      <c r="Z611" s="2156">
        <f>C573</f>
        <v>0</v>
      </c>
      <c r="AA611" s="2156"/>
      <c r="AB611" s="2156"/>
      <c r="AC611" s="2156"/>
      <c r="AD611" s="2156"/>
      <c r="AE611" s="2156"/>
      <c r="AF611" s="2156"/>
      <c r="AG611" s="2156"/>
      <c r="AH611" s="2156"/>
      <c r="AI611" s="2156"/>
      <c r="AJ611" s="2156"/>
      <c r="AK611" s="2156"/>
      <c r="AL611" s="12"/>
      <c r="AM611" s="39"/>
      <c r="AN611" s="39"/>
      <c r="AO611" s="39"/>
      <c r="AP611" s="39"/>
      <c r="AQ611" s="39"/>
      <c r="AR611" s="39"/>
      <c r="AS611" s="39"/>
      <c r="AT611" s="39"/>
      <c r="AU611" s="39"/>
      <c r="AV611" s="39"/>
      <c r="AW611" s="39"/>
      <c r="AX611" s="39"/>
      <c r="AY611" s="39"/>
      <c r="BA611" s="7" t="s">
        <v>168</v>
      </c>
      <c r="BB611" s="58"/>
      <c r="BC611" s="58"/>
      <c r="BD611" s="58"/>
      <c r="BE611" s="1917">
        <f t="shared" si="0"/>
        <v>1</v>
      </c>
      <c r="BF611" s="1919"/>
      <c r="BG611" s="1902">
        <f t="shared" si="1"/>
        <v>2</v>
      </c>
      <c r="BH611" s="1904"/>
      <c r="BI611" s="1917">
        <f t="shared" si="2"/>
        <v>0</v>
      </c>
      <c r="BJ611" s="1919"/>
      <c r="BK611" s="1902">
        <f t="shared" si="3"/>
        <v>0</v>
      </c>
      <c r="BL611" s="1904"/>
      <c r="BM611" s="58"/>
      <c r="BN611" s="1902">
        <f t="shared" si="4"/>
        <v>0</v>
      </c>
      <c r="BO611" s="1903"/>
      <c r="BP611" s="1903"/>
      <c r="BQ611" s="1903"/>
      <c r="BR611" s="1904"/>
      <c r="BS611" s="1901">
        <f t="shared" si="5"/>
        <v>2</v>
      </c>
      <c r="BT611" s="1901"/>
      <c r="BU611" s="1901"/>
      <c r="BV611" s="1901"/>
      <c r="BW611" s="1901"/>
      <c r="BX611" s="1901">
        <f t="shared" si="6"/>
        <v>0</v>
      </c>
      <c r="BY611" s="1901"/>
      <c r="BZ611" s="1901"/>
      <c r="CA611" s="1901"/>
      <c r="CB611" s="1901"/>
      <c r="CC611" s="1901">
        <f t="shared" si="7"/>
        <v>0</v>
      </c>
      <c r="CD611" s="1901"/>
      <c r="CE611" s="1901"/>
      <c r="CF611" s="1901"/>
      <c r="CG611" s="1901"/>
      <c r="CH611" s="1901">
        <f t="shared" si="8"/>
        <v>0</v>
      </c>
      <c r="CI611" s="1901"/>
      <c r="CJ611" s="1901"/>
      <c r="CK611" s="1901"/>
      <c r="CL611" s="1901"/>
      <c r="CM611" s="1901">
        <f t="shared" si="9"/>
        <v>0</v>
      </c>
      <c r="CN611" s="1901"/>
      <c r="CO611" s="1901"/>
      <c r="CP611" s="1901"/>
      <c r="CQ611" s="1901"/>
      <c r="CR611" s="265"/>
      <c r="CS611" s="2219">
        <f t="shared" si="10"/>
        <v>0</v>
      </c>
      <c r="CT611" s="2219"/>
      <c r="CU611" s="2219"/>
      <c r="CV611" s="2219"/>
      <c r="CW611" s="2219"/>
      <c r="CX611" s="2219">
        <f t="shared" si="11"/>
        <v>0</v>
      </c>
      <c r="CY611" s="2219"/>
      <c r="CZ611" s="2219"/>
      <c r="DA611" s="2219"/>
      <c r="DB611" s="2219"/>
      <c r="DC611" s="2219">
        <f t="shared" si="12"/>
        <v>0</v>
      </c>
      <c r="DD611" s="2219"/>
      <c r="DE611" s="2219"/>
      <c r="DF611" s="2219"/>
      <c r="DG611" s="2219"/>
      <c r="DH611" s="2219">
        <f t="shared" si="13"/>
        <v>0</v>
      </c>
      <c r="DI611" s="2219"/>
      <c r="DJ611" s="2219"/>
      <c r="DK611" s="2219"/>
      <c r="DL611" s="2219"/>
      <c r="DM611" s="2219">
        <f t="shared" si="14"/>
        <v>0</v>
      </c>
      <c r="DN611" s="2219"/>
      <c r="DO611" s="2219"/>
      <c r="DP611" s="2219"/>
      <c r="DQ611" s="2219"/>
      <c r="DR611" s="2219">
        <f t="shared" si="15"/>
        <v>0</v>
      </c>
      <c r="DS611" s="2219"/>
      <c r="DT611" s="2219"/>
      <c r="DU611" s="2219"/>
      <c r="DV611" s="2219"/>
      <c r="DX611" s="1917" t="str">
        <f t="shared" si="16"/>
        <v xml:space="preserve"> </v>
      </c>
      <c r="DY611" s="1918"/>
      <c r="DZ611" s="1918"/>
      <c r="EA611" s="1918"/>
      <c r="EB611" s="1919"/>
      <c r="EC611" s="1917">
        <f t="shared" si="17"/>
        <v>785</v>
      </c>
      <c r="ED611" s="1918"/>
      <c r="EE611" s="1918"/>
      <c r="EF611" s="1918"/>
      <c r="EG611" s="1919"/>
      <c r="EH611" s="1917" t="str">
        <f t="shared" si="18"/>
        <v xml:space="preserve"> </v>
      </c>
      <c r="EI611" s="1918"/>
      <c r="EJ611" s="1918"/>
      <c r="EK611" s="1918"/>
      <c r="EL611" s="1919"/>
      <c r="EM611" s="1917" t="str">
        <f t="shared" si="19"/>
        <v xml:space="preserve"> </v>
      </c>
      <c r="EN611" s="1918"/>
      <c r="EO611" s="1918"/>
      <c r="EP611" s="1918"/>
      <c r="EQ611" s="1919"/>
      <c r="ER611" s="1917" t="str">
        <f t="shared" si="20"/>
        <v xml:space="preserve"> </v>
      </c>
      <c r="ES611" s="1918"/>
      <c r="ET611" s="1918"/>
      <c r="EU611" s="1918"/>
      <c r="EV611" s="1919"/>
      <c r="EW611" s="1917" t="str">
        <f t="shared" si="21"/>
        <v xml:space="preserve"> </v>
      </c>
      <c r="EX611" s="1918"/>
      <c r="EY611" s="1918"/>
      <c r="EZ611" s="1918"/>
      <c r="FA611" s="1919"/>
    </row>
    <row r="612" spans="1:157" ht="12.75">
      <c r="A612" s="35"/>
      <c r="B612" s="12" t="s">
        <v>90</v>
      </c>
      <c r="G612" s="1935"/>
      <c r="H612" s="1935"/>
      <c r="I612" s="1935"/>
      <c r="J612" s="1935"/>
      <c r="K612" s="1935"/>
      <c r="L612" s="1935"/>
      <c r="M612" s="1935"/>
      <c r="N612" s="1935"/>
      <c r="O612" s="1935"/>
      <c r="P612" s="1935"/>
      <c r="Q612" s="1935"/>
      <c r="R612" s="1935"/>
      <c r="T612" s="35"/>
      <c r="U612" s="12" t="s">
        <v>90</v>
      </c>
      <c r="Z612" s="1935"/>
      <c r="AA612" s="1935"/>
      <c r="AB612" s="1935"/>
      <c r="AC612" s="1935"/>
      <c r="AD612" s="1935"/>
      <c r="AE612" s="1935"/>
      <c r="AF612" s="1935"/>
      <c r="AG612" s="1935"/>
      <c r="AH612" s="1935"/>
      <c r="AI612" s="1935"/>
      <c r="AJ612" s="1935"/>
      <c r="AK612" s="1935"/>
      <c r="BA612" s="7" t="s">
        <v>169</v>
      </c>
      <c r="BB612" s="58"/>
      <c r="BC612" s="58"/>
      <c r="BD612" s="58"/>
      <c r="BE612" s="1917">
        <f t="shared" si="0"/>
        <v>0</v>
      </c>
      <c r="BF612" s="1919"/>
      <c r="BG612" s="1902">
        <f t="shared" si="1"/>
        <v>0</v>
      </c>
      <c r="BH612" s="1904"/>
      <c r="BI612" s="1917">
        <f t="shared" si="2"/>
        <v>0</v>
      </c>
      <c r="BJ612" s="1919"/>
      <c r="BK612" s="1902">
        <f t="shared" si="3"/>
        <v>0</v>
      </c>
      <c r="BL612" s="1904"/>
      <c r="BM612" s="58"/>
      <c r="BN612" s="1902">
        <f t="shared" si="4"/>
        <v>0</v>
      </c>
      <c r="BO612" s="1903"/>
      <c r="BP612" s="1903"/>
      <c r="BQ612" s="1903"/>
      <c r="BR612" s="1904"/>
      <c r="BS612" s="1901">
        <f t="shared" si="5"/>
        <v>1</v>
      </c>
      <c r="BT612" s="1901"/>
      <c r="BU612" s="1901"/>
      <c r="BV612" s="1901"/>
      <c r="BW612" s="1901"/>
      <c r="BX612" s="1901">
        <f t="shared" si="6"/>
        <v>0</v>
      </c>
      <c r="BY612" s="1901"/>
      <c r="BZ612" s="1901"/>
      <c r="CA612" s="1901"/>
      <c r="CB612" s="1901"/>
      <c r="CC612" s="1901">
        <f t="shared" si="7"/>
        <v>0</v>
      </c>
      <c r="CD612" s="1901"/>
      <c r="CE612" s="1901"/>
      <c r="CF612" s="1901"/>
      <c r="CG612" s="1901"/>
      <c r="CH612" s="1901">
        <f t="shared" si="8"/>
        <v>0</v>
      </c>
      <c r="CI612" s="1901"/>
      <c r="CJ612" s="1901"/>
      <c r="CK612" s="1901"/>
      <c r="CL612" s="1901"/>
      <c r="CM612" s="1901">
        <f t="shared" si="9"/>
        <v>0</v>
      </c>
      <c r="CN612" s="1901"/>
      <c r="CO612" s="1901"/>
      <c r="CP612" s="1901"/>
      <c r="CQ612" s="1901"/>
      <c r="CR612" s="265"/>
      <c r="CS612" s="2219">
        <f t="shared" si="10"/>
        <v>0</v>
      </c>
      <c r="CT612" s="2219"/>
      <c r="CU612" s="2219"/>
      <c r="CV612" s="2219"/>
      <c r="CW612" s="2219"/>
      <c r="CX612" s="2219">
        <f t="shared" si="11"/>
        <v>0</v>
      </c>
      <c r="CY612" s="2219"/>
      <c r="CZ612" s="2219"/>
      <c r="DA612" s="2219"/>
      <c r="DB612" s="2219"/>
      <c r="DC612" s="2219">
        <f t="shared" si="12"/>
        <v>0</v>
      </c>
      <c r="DD612" s="2219"/>
      <c r="DE612" s="2219"/>
      <c r="DF612" s="2219"/>
      <c r="DG612" s="2219"/>
      <c r="DH612" s="2219">
        <f t="shared" si="13"/>
        <v>0</v>
      </c>
      <c r="DI612" s="2219"/>
      <c r="DJ612" s="2219"/>
      <c r="DK612" s="2219"/>
      <c r="DL612" s="2219"/>
      <c r="DM612" s="2219">
        <f t="shared" si="14"/>
        <v>0</v>
      </c>
      <c r="DN612" s="2219"/>
      <c r="DO612" s="2219"/>
      <c r="DP612" s="2219"/>
      <c r="DQ612" s="2219"/>
      <c r="DR612" s="2219">
        <f t="shared" si="15"/>
        <v>0</v>
      </c>
      <c r="DS612" s="2219"/>
      <c r="DT612" s="2219"/>
      <c r="DU612" s="2219"/>
      <c r="DV612" s="2219"/>
      <c r="DX612" s="1917" t="str">
        <f t="shared" si="16"/>
        <v xml:space="preserve"> </v>
      </c>
      <c r="DY612" s="1918"/>
      <c r="DZ612" s="1918"/>
      <c r="EA612" s="1918"/>
      <c r="EB612" s="1919"/>
      <c r="EC612" s="1917">
        <f t="shared" si="17"/>
        <v>967</v>
      </c>
      <c r="ED612" s="1918"/>
      <c r="EE612" s="1918"/>
      <c r="EF612" s="1918"/>
      <c r="EG612" s="1919"/>
      <c r="EH612" s="1917" t="str">
        <f t="shared" si="18"/>
        <v xml:space="preserve"> </v>
      </c>
      <c r="EI612" s="1918"/>
      <c r="EJ612" s="1918"/>
      <c r="EK612" s="1918"/>
      <c r="EL612" s="1919"/>
      <c r="EM612" s="1917" t="str">
        <f t="shared" si="19"/>
        <v xml:space="preserve"> </v>
      </c>
      <c r="EN612" s="1918"/>
      <c r="EO612" s="1918"/>
      <c r="EP612" s="1918"/>
      <c r="EQ612" s="1919"/>
      <c r="ER612" s="1917" t="str">
        <f t="shared" si="20"/>
        <v xml:space="preserve"> </v>
      </c>
      <c r="ES612" s="1918"/>
      <c r="ET612" s="1918"/>
      <c r="EU612" s="1918"/>
      <c r="EV612" s="1919"/>
      <c r="EW612" s="1917" t="str">
        <f t="shared" si="21"/>
        <v xml:space="preserve"> </v>
      </c>
      <c r="EX612" s="1918"/>
      <c r="EY612" s="1918"/>
      <c r="EZ612" s="1918"/>
      <c r="FA612" s="1919"/>
    </row>
    <row r="613" spans="1:157" ht="12.75">
      <c r="A613" s="35"/>
      <c r="B613" s="12" t="s">
        <v>617</v>
      </c>
      <c r="G613" s="1935"/>
      <c r="H613" s="1935"/>
      <c r="I613" s="1935"/>
      <c r="J613" s="1935"/>
      <c r="K613" s="1935"/>
      <c r="L613" s="1935"/>
      <c r="M613" s="1935"/>
      <c r="N613" s="1935"/>
      <c r="O613" s="1935"/>
      <c r="P613" s="1935"/>
      <c r="Q613" s="1935"/>
      <c r="R613" s="1935"/>
      <c r="T613" s="35"/>
      <c r="U613" s="12" t="s">
        <v>617</v>
      </c>
      <c r="Z613" s="2162"/>
      <c r="AA613" s="2162"/>
      <c r="AB613" s="2162"/>
      <c r="AC613" s="2162"/>
      <c r="AD613" s="2162"/>
      <c r="AE613" s="2162"/>
      <c r="AF613" s="2162"/>
      <c r="AG613" s="2162"/>
      <c r="AH613" s="2162"/>
      <c r="AI613" s="2162"/>
      <c r="AJ613" s="2162"/>
      <c r="AK613" s="2162"/>
      <c r="BA613" s="7" t="s">
        <v>170</v>
      </c>
      <c r="BB613" s="58"/>
      <c r="BC613" s="58"/>
      <c r="BD613" s="58"/>
      <c r="BE613" s="1917">
        <f t="shared" si="0"/>
        <v>0</v>
      </c>
      <c r="BF613" s="1919"/>
      <c r="BG613" s="1902">
        <f t="shared" si="1"/>
        <v>0</v>
      </c>
      <c r="BH613" s="1904"/>
      <c r="BI613" s="1917">
        <f t="shared" si="2"/>
        <v>1</v>
      </c>
      <c r="BJ613" s="1919"/>
      <c r="BK613" s="1902">
        <f t="shared" si="3"/>
        <v>3</v>
      </c>
      <c r="BL613" s="1904"/>
      <c r="BM613" s="58"/>
      <c r="BN613" s="1902">
        <f t="shared" si="4"/>
        <v>0</v>
      </c>
      <c r="BO613" s="1903"/>
      <c r="BP613" s="1903"/>
      <c r="BQ613" s="1903"/>
      <c r="BR613" s="1904"/>
      <c r="BS613" s="1901">
        <f t="shared" si="5"/>
        <v>0</v>
      </c>
      <c r="BT613" s="1901"/>
      <c r="BU613" s="1901"/>
      <c r="BV613" s="1901"/>
      <c r="BW613" s="1901"/>
      <c r="BX613" s="1901">
        <f t="shared" si="6"/>
        <v>3</v>
      </c>
      <c r="BY613" s="1901"/>
      <c r="BZ613" s="1901"/>
      <c r="CA613" s="1901"/>
      <c r="CB613" s="1901"/>
      <c r="CC613" s="1901">
        <f t="shared" si="7"/>
        <v>0</v>
      </c>
      <c r="CD613" s="1901"/>
      <c r="CE613" s="1901"/>
      <c r="CF613" s="1901"/>
      <c r="CG613" s="1901"/>
      <c r="CH613" s="1901">
        <f t="shared" si="8"/>
        <v>0</v>
      </c>
      <c r="CI613" s="1901"/>
      <c r="CJ613" s="1901"/>
      <c r="CK613" s="1901"/>
      <c r="CL613" s="1901"/>
      <c r="CM613" s="1901">
        <f t="shared" si="9"/>
        <v>0</v>
      </c>
      <c r="CN613" s="1901"/>
      <c r="CO613" s="1901"/>
      <c r="CP613" s="1901"/>
      <c r="CQ613" s="1901"/>
      <c r="CR613" s="265"/>
      <c r="CS613" s="2219">
        <f t="shared" si="10"/>
        <v>0</v>
      </c>
      <c r="CT613" s="2219"/>
      <c r="CU613" s="2219"/>
      <c r="CV613" s="2219"/>
      <c r="CW613" s="2219"/>
      <c r="CX613" s="2219">
        <f t="shared" si="11"/>
        <v>0</v>
      </c>
      <c r="CY613" s="2219"/>
      <c r="CZ613" s="2219"/>
      <c r="DA613" s="2219"/>
      <c r="DB613" s="2219"/>
      <c r="DC613" s="2219">
        <f t="shared" si="12"/>
        <v>3</v>
      </c>
      <c r="DD613" s="2219"/>
      <c r="DE613" s="2219"/>
      <c r="DF613" s="2219"/>
      <c r="DG613" s="2219"/>
      <c r="DH613" s="2219">
        <f t="shared" si="13"/>
        <v>0</v>
      </c>
      <c r="DI613" s="2219"/>
      <c r="DJ613" s="2219"/>
      <c r="DK613" s="2219"/>
      <c r="DL613" s="2219"/>
      <c r="DM613" s="2219">
        <f t="shared" si="14"/>
        <v>0</v>
      </c>
      <c r="DN613" s="2219"/>
      <c r="DO613" s="2219"/>
      <c r="DP613" s="2219"/>
      <c r="DQ613" s="2219"/>
      <c r="DR613" s="2219">
        <f t="shared" si="15"/>
        <v>0</v>
      </c>
      <c r="DS613" s="2219"/>
      <c r="DT613" s="2219"/>
      <c r="DU613" s="2219"/>
      <c r="DV613" s="2219"/>
      <c r="DX613" s="1917" t="str">
        <f t="shared" si="16"/>
        <v xml:space="preserve"> </v>
      </c>
      <c r="DY613" s="1918"/>
      <c r="DZ613" s="1918"/>
      <c r="EA613" s="1918"/>
      <c r="EB613" s="1919"/>
      <c r="EC613" s="1917" t="str">
        <f t="shared" si="17"/>
        <v xml:space="preserve"> </v>
      </c>
      <c r="ED613" s="1918"/>
      <c r="EE613" s="1918"/>
      <c r="EF613" s="1918"/>
      <c r="EG613" s="1919"/>
      <c r="EH613" s="1917">
        <f t="shared" si="18"/>
        <v>480</v>
      </c>
      <c r="EI613" s="1918"/>
      <c r="EJ613" s="1918"/>
      <c r="EK613" s="1918"/>
      <c r="EL613" s="1919"/>
      <c r="EM613" s="1917" t="str">
        <f t="shared" si="19"/>
        <v xml:space="preserve"> </v>
      </c>
      <c r="EN613" s="1918"/>
      <c r="EO613" s="1918"/>
      <c r="EP613" s="1918"/>
      <c r="EQ613" s="1919"/>
      <c r="ER613" s="1917" t="str">
        <f t="shared" si="20"/>
        <v xml:space="preserve"> </v>
      </c>
      <c r="ES613" s="1918"/>
      <c r="ET613" s="1918"/>
      <c r="EU613" s="1918"/>
      <c r="EV613" s="1919"/>
      <c r="EW613" s="1917" t="str">
        <f t="shared" si="21"/>
        <v xml:space="preserve"> </v>
      </c>
      <c r="EX613" s="1918"/>
      <c r="EY613" s="1918"/>
      <c r="EZ613" s="1918"/>
      <c r="FA613" s="1919"/>
    </row>
    <row r="614" spans="1:157" ht="12.75">
      <c r="A614" s="35"/>
      <c r="B614" s="12" t="s">
        <v>17</v>
      </c>
      <c r="G614" s="1935"/>
      <c r="H614" s="1935"/>
      <c r="I614" s="1935"/>
      <c r="J614" s="1935"/>
      <c r="K614" s="1935"/>
      <c r="L614" s="1935"/>
      <c r="M614" s="1935"/>
      <c r="N614" s="1935"/>
      <c r="O614" s="1935"/>
      <c r="P614" s="1935"/>
      <c r="Q614" s="1935"/>
      <c r="R614" s="1935"/>
      <c r="T614" s="35"/>
      <c r="U614" s="12" t="s">
        <v>17</v>
      </c>
      <c r="Z614" s="2162"/>
      <c r="AA614" s="2162"/>
      <c r="AB614" s="2162"/>
      <c r="AC614" s="2162"/>
      <c r="AD614" s="2162"/>
      <c r="AE614" s="2162"/>
      <c r="AF614" s="2162"/>
      <c r="AG614" s="2162"/>
      <c r="AH614" s="2162"/>
      <c r="AI614" s="2162"/>
      <c r="AJ614" s="2162"/>
      <c r="AK614" s="2162"/>
      <c r="BA614" s="7" t="s">
        <v>31</v>
      </c>
      <c r="BB614" s="58"/>
      <c r="BC614" s="58"/>
      <c r="BD614" s="58"/>
      <c r="BE614" s="1917">
        <f t="shared" si="0"/>
        <v>1</v>
      </c>
      <c r="BF614" s="1919"/>
      <c r="BG614" s="1902">
        <f t="shared" si="1"/>
        <v>12</v>
      </c>
      <c r="BH614" s="1904"/>
      <c r="BI614" s="1917">
        <f t="shared" si="2"/>
        <v>0</v>
      </c>
      <c r="BJ614" s="1919"/>
      <c r="BK614" s="1902">
        <f t="shared" si="3"/>
        <v>0</v>
      </c>
      <c r="BL614" s="1904"/>
      <c r="BM614" s="58"/>
      <c r="BN614" s="1902">
        <f t="shared" si="4"/>
        <v>0</v>
      </c>
      <c r="BO614" s="1903"/>
      <c r="BP614" s="1903"/>
      <c r="BQ614" s="1903"/>
      <c r="BR614" s="1904"/>
      <c r="BS614" s="1901">
        <f t="shared" si="5"/>
        <v>0</v>
      </c>
      <c r="BT614" s="1901"/>
      <c r="BU614" s="1901"/>
      <c r="BV614" s="1901"/>
      <c r="BW614" s="1901"/>
      <c r="BX614" s="1901">
        <f t="shared" si="6"/>
        <v>12</v>
      </c>
      <c r="BY614" s="1901"/>
      <c r="BZ614" s="1901"/>
      <c r="CA614" s="1901"/>
      <c r="CB614" s="1901"/>
      <c r="CC614" s="1901">
        <f t="shared" si="7"/>
        <v>0</v>
      </c>
      <c r="CD614" s="1901"/>
      <c r="CE614" s="1901"/>
      <c r="CF614" s="1901"/>
      <c r="CG614" s="1901"/>
      <c r="CH614" s="1901">
        <f t="shared" si="8"/>
        <v>0</v>
      </c>
      <c r="CI614" s="1901"/>
      <c r="CJ614" s="1901"/>
      <c r="CK614" s="1901"/>
      <c r="CL614" s="1901"/>
      <c r="CM614" s="1901">
        <f t="shared" si="9"/>
        <v>0</v>
      </c>
      <c r="CN614" s="1901"/>
      <c r="CO614" s="1901"/>
      <c r="CP614" s="1901"/>
      <c r="CQ614" s="1901"/>
      <c r="CR614" s="265"/>
      <c r="CS614" s="2219">
        <f t="shared" si="10"/>
        <v>0</v>
      </c>
      <c r="CT614" s="2219"/>
      <c r="CU614" s="2219"/>
      <c r="CV614" s="2219"/>
      <c r="CW614" s="2219"/>
      <c r="CX614" s="2219">
        <f t="shared" si="11"/>
        <v>0</v>
      </c>
      <c r="CY614" s="2219"/>
      <c r="CZ614" s="2219"/>
      <c r="DA614" s="2219"/>
      <c r="DB614" s="2219"/>
      <c r="DC614" s="2219">
        <f t="shared" si="12"/>
        <v>0</v>
      </c>
      <c r="DD614" s="2219"/>
      <c r="DE614" s="2219"/>
      <c r="DF614" s="2219"/>
      <c r="DG614" s="2219"/>
      <c r="DH614" s="2219">
        <f t="shared" si="13"/>
        <v>0</v>
      </c>
      <c r="DI614" s="2219"/>
      <c r="DJ614" s="2219"/>
      <c r="DK614" s="2219"/>
      <c r="DL614" s="2219"/>
      <c r="DM614" s="2219">
        <f t="shared" si="14"/>
        <v>0</v>
      </c>
      <c r="DN614" s="2219"/>
      <c r="DO614" s="2219"/>
      <c r="DP614" s="2219"/>
      <c r="DQ614" s="2219"/>
      <c r="DR614" s="2219">
        <f t="shared" si="15"/>
        <v>0</v>
      </c>
      <c r="DS614" s="2219"/>
      <c r="DT614" s="2219"/>
      <c r="DU614" s="2219"/>
      <c r="DV614" s="2219"/>
      <c r="DX614" s="1917" t="str">
        <f t="shared" si="16"/>
        <v xml:space="preserve"> </v>
      </c>
      <c r="DY614" s="1918"/>
      <c r="DZ614" s="1918"/>
      <c r="EA614" s="1918"/>
      <c r="EB614" s="1919"/>
      <c r="EC614" s="1917" t="str">
        <f t="shared" si="17"/>
        <v xml:space="preserve"> </v>
      </c>
      <c r="ED614" s="1918"/>
      <c r="EE614" s="1918"/>
      <c r="EF614" s="1918"/>
      <c r="EG614" s="1919"/>
      <c r="EH614" s="1917">
        <f t="shared" si="18"/>
        <v>917</v>
      </c>
      <c r="EI614" s="1918"/>
      <c r="EJ614" s="1918"/>
      <c r="EK614" s="1918"/>
      <c r="EL614" s="1919"/>
      <c r="EM614" s="1917" t="str">
        <f t="shared" si="19"/>
        <v xml:space="preserve"> </v>
      </c>
      <c r="EN614" s="1918"/>
      <c r="EO614" s="1918"/>
      <c r="EP614" s="1918"/>
      <c r="EQ614" s="1919"/>
      <c r="ER614" s="1917" t="str">
        <f t="shared" si="20"/>
        <v xml:space="preserve"> </v>
      </c>
      <c r="ES614" s="1918"/>
      <c r="ET614" s="1918"/>
      <c r="EU614" s="1918"/>
      <c r="EV614" s="1919"/>
      <c r="EW614" s="1917" t="str">
        <f t="shared" si="21"/>
        <v xml:space="preserve"> </v>
      </c>
      <c r="EX614" s="1918"/>
      <c r="EY614" s="1918"/>
      <c r="EZ614" s="1918"/>
      <c r="FA614" s="1919"/>
    </row>
    <row r="615" spans="1:157" ht="12.75">
      <c r="A615" s="35"/>
      <c r="B615" s="12" t="s">
        <v>327</v>
      </c>
      <c r="G615" s="2157"/>
      <c r="H615" s="2157"/>
      <c r="I615" s="2157"/>
      <c r="J615" s="2157"/>
      <c r="K615" s="2157"/>
      <c r="L615" s="2157"/>
      <c r="O615" s="137" t="s">
        <v>212</v>
      </c>
      <c r="P615" s="1958"/>
      <c r="Q615" s="1958"/>
      <c r="R615" s="1958"/>
      <c r="T615" s="35"/>
      <c r="U615" s="12" t="s">
        <v>327</v>
      </c>
      <c r="Z615" s="2157"/>
      <c r="AA615" s="2157"/>
      <c r="AB615" s="2157"/>
      <c r="AC615" s="2157"/>
      <c r="AD615" s="2157"/>
      <c r="AE615" s="2157"/>
      <c r="AH615" s="137" t="s">
        <v>212</v>
      </c>
      <c r="AI615" s="1958"/>
      <c r="AJ615" s="1958"/>
      <c r="AK615" s="1958"/>
      <c r="AZ615" s="58"/>
      <c r="BA615" s="58"/>
      <c r="BB615" s="58"/>
      <c r="BC615" s="58"/>
      <c r="BD615" s="58"/>
      <c r="BE615" s="1917">
        <f t="shared" si="0"/>
        <v>0</v>
      </c>
      <c r="BF615" s="1919"/>
      <c r="BG615" s="1902">
        <f t="shared" si="1"/>
        <v>0</v>
      </c>
      <c r="BH615" s="1904"/>
      <c r="BI615" s="1917">
        <f t="shared" si="2"/>
        <v>0</v>
      </c>
      <c r="BJ615" s="1919"/>
      <c r="BK615" s="1902">
        <f t="shared" si="3"/>
        <v>0</v>
      </c>
      <c r="BL615" s="1904"/>
      <c r="BM615" s="58"/>
      <c r="BN615" s="1902">
        <f t="shared" si="4"/>
        <v>0</v>
      </c>
      <c r="BO615" s="1903"/>
      <c r="BP615" s="1903"/>
      <c r="BQ615" s="1903"/>
      <c r="BR615" s="1904"/>
      <c r="BS615" s="1901">
        <f t="shared" si="5"/>
        <v>0</v>
      </c>
      <c r="BT615" s="1901"/>
      <c r="BU615" s="1901"/>
      <c r="BV615" s="1901"/>
      <c r="BW615" s="1901"/>
      <c r="BX615" s="1901">
        <f t="shared" si="6"/>
        <v>8</v>
      </c>
      <c r="BY615" s="1901"/>
      <c r="BZ615" s="1901"/>
      <c r="CA615" s="1901"/>
      <c r="CB615" s="1901"/>
      <c r="CC615" s="1901">
        <f t="shared" si="7"/>
        <v>0</v>
      </c>
      <c r="CD615" s="1901"/>
      <c r="CE615" s="1901"/>
      <c r="CF615" s="1901"/>
      <c r="CG615" s="1901"/>
      <c r="CH615" s="1901">
        <f t="shared" si="8"/>
        <v>0</v>
      </c>
      <c r="CI615" s="1901"/>
      <c r="CJ615" s="1901"/>
      <c r="CK615" s="1901"/>
      <c r="CL615" s="1901"/>
      <c r="CM615" s="1901">
        <f t="shared" si="9"/>
        <v>0</v>
      </c>
      <c r="CN615" s="1901"/>
      <c r="CO615" s="1901"/>
      <c r="CP615" s="1901"/>
      <c r="CQ615" s="1901"/>
      <c r="CR615" s="265"/>
      <c r="CS615" s="2219">
        <f t="shared" si="10"/>
        <v>0</v>
      </c>
      <c r="CT615" s="2219"/>
      <c r="CU615" s="2219"/>
      <c r="CV615" s="2219"/>
      <c r="CW615" s="2219"/>
      <c r="CX615" s="2219">
        <f t="shared" si="11"/>
        <v>0</v>
      </c>
      <c r="CY615" s="2219"/>
      <c r="CZ615" s="2219"/>
      <c r="DA615" s="2219"/>
      <c r="DB615" s="2219"/>
      <c r="DC615" s="2219">
        <f t="shared" si="12"/>
        <v>0</v>
      </c>
      <c r="DD615" s="2219"/>
      <c r="DE615" s="2219"/>
      <c r="DF615" s="2219"/>
      <c r="DG615" s="2219"/>
      <c r="DH615" s="2219">
        <f t="shared" si="13"/>
        <v>0</v>
      </c>
      <c r="DI615" s="2219"/>
      <c r="DJ615" s="2219"/>
      <c r="DK615" s="2219"/>
      <c r="DL615" s="2219"/>
      <c r="DM615" s="2219">
        <f t="shared" si="14"/>
        <v>0</v>
      </c>
      <c r="DN615" s="2219"/>
      <c r="DO615" s="2219"/>
      <c r="DP615" s="2219"/>
      <c r="DQ615" s="2219"/>
      <c r="DR615" s="2219">
        <f t="shared" si="15"/>
        <v>0</v>
      </c>
      <c r="DS615" s="2219"/>
      <c r="DT615" s="2219"/>
      <c r="DU615" s="2219"/>
      <c r="DV615" s="2219"/>
      <c r="DX615" s="1917" t="str">
        <f t="shared" si="16"/>
        <v xml:space="preserve"> </v>
      </c>
      <c r="DY615" s="1918"/>
      <c r="DZ615" s="1918"/>
      <c r="EA615" s="1918"/>
      <c r="EB615" s="1919"/>
      <c r="EC615" s="1917" t="str">
        <f t="shared" si="17"/>
        <v xml:space="preserve"> </v>
      </c>
      <c r="ED615" s="1918"/>
      <c r="EE615" s="1918"/>
      <c r="EF615" s="1918"/>
      <c r="EG615" s="1919"/>
      <c r="EH615" s="1917">
        <f t="shared" si="18"/>
        <v>1135</v>
      </c>
      <c r="EI615" s="1918"/>
      <c r="EJ615" s="1918"/>
      <c r="EK615" s="1918"/>
      <c r="EL615" s="1919"/>
      <c r="EM615" s="1917" t="str">
        <f t="shared" si="19"/>
        <v xml:space="preserve"> </v>
      </c>
      <c r="EN615" s="1918"/>
      <c r="EO615" s="1918"/>
      <c r="EP615" s="1918"/>
      <c r="EQ615" s="1919"/>
      <c r="ER615" s="1917" t="str">
        <f t="shared" si="20"/>
        <v xml:space="preserve"> </v>
      </c>
      <c r="ES615" s="1918"/>
      <c r="ET615" s="1918"/>
      <c r="EU615" s="1918"/>
      <c r="EV615" s="1919"/>
      <c r="EW615" s="1917" t="str">
        <f t="shared" si="21"/>
        <v xml:space="preserve"> </v>
      </c>
      <c r="EX615" s="1918"/>
      <c r="EY615" s="1918"/>
      <c r="EZ615" s="1918"/>
      <c r="FA615" s="1919"/>
    </row>
    <row r="616" spans="1:157" ht="12.75">
      <c r="A616" s="35"/>
      <c r="B616" s="12" t="s">
        <v>18</v>
      </c>
      <c r="H616" s="1935"/>
      <c r="I616" s="1935"/>
      <c r="J616" s="1935"/>
      <c r="K616" s="1935"/>
      <c r="L616" s="1935"/>
      <c r="M616" s="1935"/>
      <c r="N616" s="1935"/>
      <c r="O616" s="1935"/>
      <c r="P616" s="1935"/>
      <c r="Q616" s="1935"/>
      <c r="R616" s="1935"/>
      <c r="T616" s="35"/>
      <c r="U616" s="12" t="s">
        <v>18</v>
      </c>
      <c r="AA616" s="1935"/>
      <c r="AB616" s="1935"/>
      <c r="AC616" s="1935"/>
      <c r="AD616" s="1935"/>
      <c r="AE616" s="1935"/>
      <c r="AF616" s="1935"/>
      <c r="AG616" s="1935"/>
      <c r="AH616" s="1935"/>
      <c r="AI616" s="1935"/>
      <c r="AJ616" s="1935"/>
      <c r="AK616" s="1935"/>
      <c r="AZ616" s="58"/>
      <c r="BA616" s="58"/>
      <c r="BB616" s="58"/>
      <c r="BC616" s="58"/>
      <c r="BD616" s="58"/>
      <c r="BE616" s="1917">
        <f t="shared" si="0"/>
        <v>0</v>
      </c>
      <c r="BF616" s="1919"/>
      <c r="BG616" s="1902">
        <f t="shared" si="1"/>
        <v>0</v>
      </c>
      <c r="BH616" s="1904"/>
      <c r="BI616" s="1917">
        <f t="shared" si="2"/>
        <v>0</v>
      </c>
      <c r="BJ616" s="1919"/>
      <c r="BK616" s="1902">
        <f t="shared" si="3"/>
        <v>0</v>
      </c>
      <c r="BL616" s="1904"/>
      <c r="BM616" s="58"/>
      <c r="BN616" s="1902">
        <f t="shared" si="4"/>
        <v>0</v>
      </c>
      <c r="BO616" s="1903"/>
      <c r="BP616" s="1903"/>
      <c r="BQ616" s="1903"/>
      <c r="BR616" s="1904"/>
      <c r="BS616" s="1901">
        <f t="shared" si="5"/>
        <v>0</v>
      </c>
      <c r="BT616" s="1901"/>
      <c r="BU616" s="1901"/>
      <c r="BV616" s="1901"/>
      <c r="BW616" s="1901"/>
      <c r="BX616" s="1901">
        <f t="shared" si="6"/>
        <v>7</v>
      </c>
      <c r="BY616" s="1901"/>
      <c r="BZ616" s="1901"/>
      <c r="CA616" s="1901"/>
      <c r="CB616" s="1901"/>
      <c r="CC616" s="1901">
        <f t="shared" si="7"/>
        <v>0</v>
      </c>
      <c r="CD616" s="1901"/>
      <c r="CE616" s="1901"/>
      <c r="CF616" s="1901"/>
      <c r="CG616" s="1901"/>
      <c r="CH616" s="1901">
        <f t="shared" si="8"/>
        <v>0</v>
      </c>
      <c r="CI616" s="1901"/>
      <c r="CJ616" s="1901"/>
      <c r="CK616" s="1901"/>
      <c r="CL616" s="1901"/>
      <c r="CM616" s="1901">
        <f t="shared" si="9"/>
        <v>0</v>
      </c>
      <c r="CN616" s="1901"/>
      <c r="CO616" s="1901"/>
      <c r="CP616" s="1901"/>
      <c r="CQ616" s="1901"/>
      <c r="CR616" s="265"/>
      <c r="CS616" s="2219">
        <f t="shared" si="10"/>
        <v>0</v>
      </c>
      <c r="CT616" s="2219"/>
      <c r="CU616" s="2219"/>
      <c r="CV616" s="2219"/>
      <c r="CW616" s="2219"/>
      <c r="CX616" s="2219">
        <f t="shared" si="11"/>
        <v>0</v>
      </c>
      <c r="CY616" s="2219"/>
      <c r="CZ616" s="2219"/>
      <c r="DA616" s="2219"/>
      <c r="DB616" s="2219"/>
      <c r="DC616" s="2219">
        <f t="shared" si="12"/>
        <v>0</v>
      </c>
      <c r="DD616" s="2219"/>
      <c r="DE616" s="2219"/>
      <c r="DF616" s="2219"/>
      <c r="DG616" s="2219"/>
      <c r="DH616" s="2219">
        <f t="shared" si="13"/>
        <v>0</v>
      </c>
      <c r="DI616" s="2219"/>
      <c r="DJ616" s="2219"/>
      <c r="DK616" s="2219"/>
      <c r="DL616" s="2219"/>
      <c r="DM616" s="2219">
        <f t="shared" si="14"/>
        <v>0</v>
      </c>
      <c r="DN616" s="2219"/>
      <c r="DO616" s="2219"/>
      <c r="DP616" s="2219"/>
      <c r="DQ616" s="2219"/>
      <c r="DR616" s="2219">
        <f t="shared" si="15"/>
        <v>0</v>
      </c>
      <c r="DS616" s="2219"/>
      <c r="DT616" s="2219"/>
      <c r="DU616" s="2219"/>
      <c r="DV616" s="2219"/>
      <c r="DX616" s="1917" t="str">
        <f t="shared" si="16"/>
        <v xml:space="preserve"> </v>
      </c>
      <c r="DY616" s="1918"/>
      <c r="DZ616" s="1918"/>
      <c r="EA616" s="1918"/>
      <c r="EB616" s="1919"/>
      <c r="EC616" s="1917" t="str">
        <f t="shared" si="17"/>
        <v xml:space="preserve"> </v>
      </c>
      <c r="ED616" s="1918"/>
      <c r="EE616" s="1918"/>
      <c r="EF616" s="1918"/>
      <c r="EG616" s="1919"/>
      <c r="EH616" s="1917">
        <f t="shared" si="18"/>
        <v>1572</v>
      </c>
      <c r="EI616" s="1918"/>
      <c r="EJ616" s="1918"/>
      <c r="EK616" s="1918"/>
      <c r="EL616" s="1919"/>
      <c r="EM616" s="1917" t="str">
        <f t="shared" si="19"/>
        <v xml:space="preserve"> </v>
      </c>
      <c r="EN616" s="1918"/>
      <c r="EO616" s="1918"/>
      <c r="EP616" s="1918"/>
      <c r="EQ616" s="1919"/>
      <c r="ER616" s="1917" t="str">
        <f t="shared" si="20"/>
        <v xml:space="preserve"> </v>
      </c>
      <c r="ES616" s="1918"/>
      <c r="ET616" s="1918"/>
      <c r="EU616" s="1918"/>
      <c r="EV616" s="1919"/>
      <c r="EW616" s="1917" t="str">
        <f t="shared" si="21"/>
        <v xml:space="preserve"> </v>
      </c>
      <c r="EX616" s="1918"/>
      <c r="EY616" s="1918"/>
      <c r="EZ616" s="1918"/>
      <c r="FA616" s="1919"/>
    </row>
    <row r="617" spans="1:157" ht="12.75">
      <c r="A617" s="35"/>
      <c r="B617" s="12" t="s">
        <v>20</v>
      </c>
      <c r="N617" s="1961" t="s">
        <v>708</v>
      </c>
      <c r="O617" s="1961"/>
      <c r="T617" s="35"/>
      <c r="U617" s="12" t="s">
        <v>20</v>
      </c>
      <c r="AG617" s="1961" t="s">
        <v>708</v>
      </c>
      <c r="AH617" s="1961"/>
      <c r="AZ617" s="58"/>
      <c r="BA617" s="58"/>
      <c r="BB617" s="58"/>
      <c r="BC617" s="58"/>
      <c r="BD617" s="58"/>
      <c r="BE617" s="1917">
        <f t="shared" si="0"/>
        <v>0</v>
      </c>
      <c r="BF617" s="1919"/>
      <c r="BG617" s="1902">
        <f t="shared" si="1"/>
        <v>0</v>
      </c>
      <c r="BH617" s="1904"/>
      <c r="BI617" s="1917">
        <f t="shared" si="2"/>
        <v>1</v>
      </c>
      <c r="BJ617" s="1919"/>
      <c r="BK617" s="1902">
        <f t="shared" si="3"/>
        <v>3</v>
      </c>
      <c r="BL617" s="1904"/>
      <c r="BM617" s="58"/>
      <c r="BN617" s="1902">
        <f t="shared" si="4"/>
        <v>0</v>
      </c>
      <c r="BO617" s="1903"/>
      <c r="BP617" s="1903"/>
      <c r="BQ617" s="1903"/>
      <c r="BR617" s="1904"/>
      <c r="BS617" s="1901">
        <f t="shared" si="5"/>
        <v>0</v>
      </c>
      <c r="BT617" s="1901"/>
      <c r="BU617" s="1901"/>
      <c r="BV617" s="1901"/>
      <c r="BW617" s="1901"/>
      <c r="BX617" s="1901">
        <f t="shared" si="6"/>
        <v>0</v>
      </c>
      <c r="BY617" s="1901"/>
      <c r="BZ617" s="1901"/>
      <c r="CA617" s="1901"/>
      <c r="CB617" s="1901"/>
      <c r="CC617" s="1901">
        <f t="shared" si="7"/>
        <v>3</v>
      </c>
      <c r="CD617" s="1901"/>
      <c r="CE617" s="1901"/>
      <c r="CF617" s="1901"/>
      <c r="CG617" s="1901"/>
      <c r="CH617" s="1901">
        <f t="shared" si="8"/>
        <v>0</v>
      </c>
      <c r="CI617" s="1901"/>
      <c r="CJ617" s="1901"/>
      <c r="CK617" s="1901"/>
      <c r="CL617" s="1901"/>
      <c r="CM617" s="1901">
        <f t="shared" si="9"/>
        <v>0</v>
      </c>
      <c r="CN617" s="1901"/>
      <c r="CO617" s="1901"/>
      <c r="CP617" s="1901"/>
      <c r="CQ617" s="1901"/>
      <c r="CR617" s="265"/>
      <c r="CS617" s="2219">
        <f t="shared" si="10"/>
        <v>0</v>
      </c>
      <c r="CT617" s="2219"/>
      <c r="CU617" s="2219"/>
      <c r="CV617" s="2219"/>
      <c r="CW617" s="2219"/>
      <c r="CX617" s="2219">
        <f t="shared" si="11"/>
        <v>0</v>
      </c>
      <c r="CY617" s="2219"/>
      <c r="CZ617" s="2219"/>
      <c r="DA617" s="2219"/>
      <c r="DB617" s="2219"/>
      <c r="DC617" s="2219">
        <f t="shared" si="12"/>
        <v>0</v>
      </c>
      <c r="DD617" s="2219"/>
      <c r="DE617" s="2219"/>
      <c r="DF617" s="2219"/>
      <c r="DG617" s="2219"/>
      <c r="DH617" s="2219">
        <f t="shared" si="13"/>
        <v>3</v>
      </c>
      <c r="DI617" s="2219"/>
      <c r="DJ617" s="2219"/>
      <c r="DK617" s="2219"/>
      <c r="DL617" s="2219"/>
      <c r="DM617" s="2219">
        <f t="shared" si="14"/>
        <v>0</v>
      </c>
      <c r="DN617" s="2219"/>
      <c r="DO617" s="2219"/>
      <c r="DP617" s="2219"/>
      <c r="DQ617" s="2219"/>
      <c r="DR617" s="2219">
        <f t="shared" si="15"/>
        <v>0</v>
      </c>
      <c r="DS617" s="2219"/>
      <c r="DT617" s="2219"/>
      <c r="DU617" s="2219"/>
      <c r="DV617" s="2219"/>
      <c r="DX617" s="1917" t="str">
        <f t="shared" si="16"/>
        <v xml:space="preserve"> </v>
      </c>
      <c r="DY617" s="1918"/>
      <c r="DZ617" s="1918"/>
      <c r="EA617" s="1918"/>
      <c r="EB617" s="1919"/>
      <c r="EC617" s="1917" t="str">
        <f t="shared" si="17"/>
        <v xml:space="preserve"> </v>
      </c>
      <c r="ED617" s="1918"/>
      <c r="EE617" s="1918"/>
      <c r="EF617" s="1918"/>
      <c r="EG617" s="1919"/>
      <c r="EH617" s="1917" t="str">
        <f t="shared" si="18"/>
        <v xml:space="preserve"> </v>
      </c>
      <c r="EI617" s="1918"/>
      <c r="EJ617" s="1918"/>
      <c r="EK617" s="1918"/>
      <c r="EL617" s="1919"/>
      <c r="EM617" s="1917">
        <f t="shared" si="19"/>
        <v>513</v>
      </c>
      <c r="EN617" s="1918"/>
      <c r="EO617" s="1918"/>
      <c r="EP617" s="1918"/>
      <c r="EQ617" s="1919"/>
      <c r="ER617" s="1917" t="str">
        <f t="shared" si="20"/>
        <v xml:space="preserve"> </v>
      </c>
      <c r="ES617" s="1918"/>
      <c r="ET617" s="1918"/>
      <c r="EU617" s="1918"/>
      <c r="EV617" s="1919"/>
      <c r="EW617" s="1917" t="str">
        <f t="shared" si="21"/>
        <v xml:space="preserve"> </v>
      </c>
      <c r="EX617" s="1918"/>
      <c r="EY617" s="1918"/>
      <c r="EZ617" s="1918"/>
      <c r="FA617" s="191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17">
        <f t="shared" si="0"/>
        <v>1</v>
      </c>
      <c r="BF618" s="1919"/>
      <c r="BG618" s="1902">
        <f t="shared" si="1"/>
        <v>10</v>
      </c>
      <c r="BH618" s="1904"/>
      <c r="BI618" s="1917">
        <f t="shared" si="2"/>
        <v>0</v>
      </c>
      <c r="BJ618" s="1919"/>
      <c r="BK618" s="1902">
        <f t="shared" si="3"/>
        <v>0</v>
      </c>
      <c r="BL618" s="1904"/>
      <c r="BM618" s="58"/>
      <c r="BN618" s="1902">
        <f t="shared" si="4"/>
        <v>0</v>
      </c>
      <c r="BO618" s="1903"/>
      <c r="BP618" s="1903"/>
      <c r="BQ618" s="1903"/>
      <c r="BR618" s="1904"/>
      <c r="BS618" s="1901">
        <f t="shared" si="5"/>
        <v>0</v>
      </c>
      <c r="BT618" s="1901"/>
      <c r="BU618" s="1901"/>
      <c r="BV618" s="1901"/>
      <c r="BW618" s="1901"/>
      <c r="BX618" s="1901">
        <f t="shared" si="6"/>
        <v>0</v>
      </c>
      <c r="BY618" s="1901"/>
      <c r="BZ618" s="1901"/>
      <c r="CA618" s="1901"/>
      <c r="CB618" s="1901"/>
      <c r="CC618" s="1901">
        <f t="shared" si="7"/>
        <v>10</v>
      </c>
      <c r="CD618" s="1901"/>
      <c r="CE618" s="1901"/>
      <c r="CF618" s="1901"/>
      <c r="CG618" s="1901"/>
      <c r="CH618" s="1901">
        <f t="shared" si="8"/>
        <v>0</v>
      </c>
      <c r="CI618" s="1901"/>
      <c r="CJ618" s="1901"/>
      <c r="CK618" s="1901"/>
      <c r="CL618" s="1901"/>
      <c r="CM618" s="1901">
        <f t="shared" si="9"/>
        <v>0</v>
      </c>
      <c r="CN618" s="1901"/>
      <c r="CO618" s="1901"/>
      <c r="CP618" s="1901"/>
      <c r="CQ618" s="1901"/>
      <c r="CR618" s="265"/>
      <c r="CS618" s="2219">
        <f t="shared" si="10"/>
        <v>0</v>
      </c>
      <c r="CT618" s="2219"/>
      <c r="CU618" s="2219"/>
      <c r="CV618" s="2219"/>
      <c r="CW618" s="2219"/>
      <c r="CX618" s="2219">
        <f t="shared" si="11"/>
        <v>0</v>
      </c>
      <c r="CY618" s="2219"/>
      <c r="CZ618" s="2219"/>
      <c r="DA618" s="2219"/>
      <c r="DB618" s="2219"/>
      <c r="DC618" s="2219">
        <f t="shared" si="12"/>
        <v>0</v>
      </c>
      <c r="DD618" s="2219"/>
      <c r="DE618" s="2219"/>
      <c r="DF618" s="2219"/>
      <c r="DG618" s="2219"/>
      <c r="DH618" s="2219">
        <f t="shared" si="13"/>
        <v>0</v>
      </c>
      <c r="DI618" s="2219"/>
      <c r="DJ618" s="2219"/>
      <c r="DK618" s="2219"/>
      <c r="DL618" s="2219"/>
      <c r="DM618" s="2219">
        <f t="shared" si="14"/>
        <v>0</v>
      </c>
      <c r="DN618" s="2219"/>
      <c r="DO618" s="2219"/>
      <c r="DP618" s="2219"/>
      <c r="DQ618" s="2219"/>
      <c r="DR618" s="2219">
        <f t="shared" si="15"/>
        <v>0</v>
      </c>
      <c r="DS618" s="2219"/>
      <c r="DT618" s="2219"/>
      <c r="DU618" s="2219"/>
      <c r="DV618" s="2219"/>
      <c r="DX618" s="1917" t="str">
        <f t="shared" si="16"/>
        <v xml:space="preserve"> </v>
      </c>
      <c r="DY618" s="1918"/>
      <c r="DZ618" s="1918"/>
      <c r="EA618" s="1918"/>
      <c r="EB618" s="1919"/>
      <c r="EC618" s="1917" t="str">
        <f t="shared" si="17"/>
        <v xml:space="preserve"> </v>
      </c>
      <c r="ED618" s="1918"/>
      <c r="EE618" s="1918"/>
      <c r="EF618" s="1918"/>
      <c r="EG618" s="1919"/>
      <c r="EH618" s="1917" t="str">
        <f t="shared" si="18"/>
        <v xml:space="preserve"> </v>
      </c>
      <c r="EI618" s="1918"/>
      <c r="EJ618" s="1918"/>
      <c r="EK618" s="1918"/>
      <c r="EL618" s="1919"/>
      <c r="EM618" s="1917">
        <f t="shared" si="19"/>
        <v>1017</v>
      </c>
      <c r="EN618" s="1918"/>
      <c r="EO618" s="1918"/>
      <c r="EP618" s="1918"/>
      <c r="EQ618" s="1919"/>
      <c r="ER618" s="1917" t="str">
        <f t="shared" si="20"/>
        <v xml:space="preserve"> </v>
      </c>
      <c r="ES618" s="1918"/>
      <c r="ET618" s="1918"/>
      <c r="EU618" s="1918"/>
      <c r="EV618" s="1919"/>
      <c r="EW618" s="1917" t="str">
        <f t="shared" si="21"/>
        <v xml:space="preserve"> </v>
      </c>
      <c r="EX618" s="1918"/>
      <c r="EY618" s="1918"/>
      <c r="EZ618" s="1918"/>
      <c r="FA618" s="1919"/>
    </row>
    <row r="619" spans="1:157" s="7" customFormat="1" ht="12.75">
      <c r="A619" s="87" t="s">
        <v>374</v>
      </c>
      <c r="B619" s="12" t="s">
        <v>498</v>
      </c>
      <c r="C619" s="12"/>
      <c r="D619" s="12"/>
      <c r="E619" s="12"/>
      <c r="F619" s="12"/>
      <c r="G619" s="2156">
        <f>C574</f>
        <v>0</v>
      </c>
      <c r="H619" s="2156"/>
      <c r="I619" s="2156"/>
      <c r="J619" s="2156"/>
      <c r="K619" s="2156"/>
      <c r="L619" s="2156"/>
      <c r="M619" s="2156"/>
      <c r="N619" s="2156"/>
      <c r="O619" s="2156"/>
      <c r="P619" s="2156"/>
      <c r="Q619" s="2156"/>
      <c r="R619" s="2156"/>
      <c r="S619" s="12"/>
      <c r="T619" s="87" t="s">
        <v>375</v>
      </c>
      <c r="U619" s="12" t="s">
        <v>498</v>
      </c>
      <c r="V619" s="12"/>
      <c r="W619" s="12"/>
      <c r="X619" s="12"/>
      <c r="Y619" s="12"/>
      <c r="Z619" s="2156">
        <f>C575</f>
        <v>0</v>
      </c>
      <c r="AA619" s="2156"/>
      <c r="AB619" s="2156"/>
      <c r="AC619" s="2156"/>
      <c r="AD619" s="2156"/>
      <c r="AE619" s="2156"/>
      <c r="AF619" s="2156"/>
      <c r="AG619" s="2156"/>
      <c r="AH619" s="2156"/>
      <c r="AI619" s="2156"/>
      <c r="AJ619" s="2156"/>
      <c r="AK619" s="2156"/>
      <c r="AL619" s="12"/>
      <c r="AM619" s="39"/>
      <c r="AN619" s="39"/>
      <c r="AO619" s="39"/>
      <c r="AP619" s="39"/>
      <c r="AQ619" s="39"/>
      <c r="AR619" s="39"/>
      <c r="AS619" s="39"/>
      <c r="AT619" s="39"/>
      <c r="AU619" s="39"/>
      <c r="AV619" s="39"/>
      <c r="AW619" s="39"/>
      <c r="AX619" s="39"/>
      <c r="AY619" s="39"/>
      <c r="AZ619" s="58"/>
      <c r="BA619" s="58"/>
      <c r="BB619" s="58"/>
      <c r="BC619" s="58"/>
      <c r="BD619" s="58"/>
      <c r="BE619" s="1917">
        <f t="shared" si="0"/>
        <v>0</v>
      </c>
      <c r="BF619" s="1919"/>
      <c r="BG619" s="1902">
        <f t="shared" si="1"/>
        <v>0</v>
      </c>
      <c r="BH619" s="1904"/>
      <c r="BI619" s="1917">
        <f t="shared" si="2"/>
        <v>0</v>
      </c>
      <c r="BJ619" s="1919"/>
      <c r="BK619" s="1902">
        <f t="shared" si="3"/>
        <v>0</v>
      </c>
      <c r="BL619" s="1904"/>
      <c r="BM619" s="58"/>
      <c r="BN619" s="1902">
        <f t="shared" si="4"/>
        <v>0</v>
      </c>
      <c r="BO619" s="1903"/>
      <c r="BP619" s="1903"/>
      <c r="BQ619" s="1903"/>
      <c r="BR619" s="1904"/>
      <c r="BS619" s="1901">
        <f t="shared" si="5"/>
        <v>0</v>
      </c>
      <c r="BT619" s="1901"/>
      <c r="BU619" s="1901"/>
      <c r="BV619" s="1901"/>
      <c r="BW619" s="1901"/>
      <c r="BX619" s="1901">
        <f t="shared" si="6"/>
        <v>0</v>
      </c>
      <c r="BY619" s="1901"/>
      <c r="BZ619" s="1901"/>
      <c r="CA619" s="1901"/>
      <c r="CB619" s="1901"/>
      <c r="CC619" s="1901">
        <f t="shared" si="7"/>
        <v>9</v>
      </c>
      <c r="CD619" s="1901"/>
      <c r="CE619" s="1901"/>
      <c r="CF619" s="1901"/>
      <c r="CG619" s="1901"/>
      <c r="CH619" s="1901">
        <f t="shared" si="8"/>
        <v>0</v>
      </c>
      <c r="CI619" s="1901"/>
      <c r="CJ619" s="1901"/>
      <c r="CK619" s="1901"/>
      <c r="CL619" s="1901"/>
      <c r="CM619" s="1901">
        <f t="shared" si="9"/>
        <v>0</v>
      </c>
      <c r="CN619" s="1901"/>
      <c r="CO619" s="1901"/>
      <c r="CP619" s="1901"/>
      <c r="CQ619" s="1901"/>
      <c r="CR619" s="265"/>
      <c r="CS619" s="2219">
        <f t="shared" si="10"/>
        <v>0</v>
      </c>
      <c r="CT619" s="2219"/>
      <c r="CU619" s="2219"/>
      <c r="CV619" s="2219"/>
      <c r="CW619" s="2219"/>
      <c r="CX619" s="2219">
        <f t="shared" si="11"/>
        <v>0</v>
      </c>
      <c r="CY619" s="2219"/>
      <c r="CZ619" s="2219"/>
      <c r="DA619" s="2219"/>
      <c r="DB619" s="2219"/>
      <c r="DC619" s="2219">
        <f t="shared" si="12"/>
        <v>0</v>
      </c>
      <c r="DD619" s="2219"/>
      <c r="DE619" s="2219"/>
      <c r="DF619" s="2219"/>
      <c r="DG619" s="2219"/>
      <c r="DH619" s="2219">
        <f t="shared" si="13"/>
        <v>0</v>
      </c>
      <c r="DI619" s="2219"/>
      <c r="DJ619" s="2219"/>
      <c r="DK619" s="2219"/>
      <c r="DL619" s="2219"/>
      <c r="DM619" s="2219">
        <f t="shared" si="14"/>
        <v>0</v>
      </c>
      <c r="DN619" s="2219"/>
      <c r="DO619" s="2219"/>
      <c r="DP619" s="2219"/>
      <c r="DQ619" s="2219"/>
      <c r="DR619" s="2219">
        <f t="shared" si="15"/>
        <v>0</v>
      </c>
      <c r="DS619" s="2219"/>
      <c r="DT619" s="2219"/>
      <c r="DU619" s="2219"/>
      <c r="DV619" s="2219"/>
      <c r="DX619" s="1917" t="str">
        <f t="shared" si="16"/>
        <v xml:space="preserve"> </v>
      </c>
      <c r="DY619" s="1918"/>
      <c r="DZ619" s="1918"/>
      <c r="EA619" s="1918"/>
      <c r="EB619" s="1919"/>
      <c r="EC619" s="1917" t="str">
        <f t="shared" si="17"/>
        <v xml:space="preserve"> </v>
      </c>
      <c r="ED619" s="1918"/>
      <c r="EE619" s="1918"/>
      <c r="EF619" s="1918"/>
      <c r="EG619" s="1919"/>
      <c r="EH619" s="1917" t="str">
        <f t="shared" si="18"/>
        <v xml:space="preserve"> </v>
      </c>
      <c r="EI619" s="1918"/>
      <c r="EJ619" s="1918"/>
      <c r="EK619" s="1918"/>
      <c r="EL619" s="1919"/>
      <c r="EM619" s="1917">
        <f t="shared" si="19"/>
        <v>1269</v>
      </c>
      <c r="EN619" s="1918"/>
      <c r="EO619" s="1918"/>
      <c r="EP619" s="1918"/>
      <c r="EQ619" s="1919"/>
      <c r="ER619" s="1917" t="str">
        <f t="shared" si="20"/>
        <v xml:space="preserve"> </v>
      </c>
      <c r="ES619" s="1918"/>
      <c r="ET619" s="1918"/>
      <c r="EU619" s="1918"/>
      <c r="EV619" s="1919"/>
      <c r="EW619" s="1917" t="str">
        <f t="shared" si="21"/>
        <v xml:space="preserve"> </v>
      </c>
      <c r="EX619" s="1918"/>
      <c r="EY619" s="1918"/>
      <c r="EZ619" s="1918"/>
      <c r="FA619" s="1919"/>
    </row>
    <row r="620" spans="1:157" s="7" customFormat="1" ht="12.75">
      <c r="A620" s="12"/>
      <c r="B620" s="12" t="s">
        <v>90</v>
      </c>
      <c r="C620" s="12"/>
      <c r="D620" s="12"/>
      <c r="E620" s="12"/>
      <c r="F620" s="12"/>
      <c r="G620" s="1935"/>
      <c r="H620" s="1935"/>
      <c r="I620" s="1935"/>
      <c r="J620" s="1935"/>
      <c r="K620" s="1935"/>
      <c r="L620" s="1935"/>
      <c r="M620" s="1935"/>
      <c r="N620" s="1935"/>
      <c r="O620" s="1935"/>
      <c r="P620" s="1935"/>
      <c r="Q620" s="1935"/>
      <c r="R620" s="1935"/>
      <c r="S620" s="12"/>
      <c r="T620" s="12"/>
      <c r="U620" s="12" t="s">
        <v>90</v>
      </c>
      <c r="V620" s="12"/>
      <c r="W620" s="12"/>
      <c r="X620" s="12"/>
      <c r="Y620" s="12"/>
      <c r="Z620" s="1935"/>
      <c r="AA620" s="1935"/>
      <c r="AB620" s="1935"/>
      <c r="AC620" s="1935"/>
      <c r="AD620" s="1935"/>
      <c r="AE620" s="1935"/>
      <c r="AF620" s="1935"/>
      <c r="AG620" s="1935"/>
      <c r="AH620" s="1935"/>
      <c r="AI620" s="1935"/>
      <c r="AJ620" s="1935"/>
      <c r="AK620" s="1935"/>
      <c r="AL620" s="12"/>
      <c r="AM620" s="39"/>
      <c r="AN620" s="39"/>
      <c r="AO620" s="39"/>
      <c r="AP620" s="39"/>
      <c r="AQ620" s="39"/>
      <c r="AR620" s="39"/>
      <c r="AS620" s="39"/>
      <c r="AT620" s="39"/>
      <c r="AU620" s="39"/>
      <c r="AV620" s="39"/>
      <c r="AW620" s="39"/>
      <c r="AX620" s="39"/>
      <c r="AY620" s="39"/>
      <c r="AZ620" s="58"/>
      <c r="BA620" s="58"/>
      <c r="BB620" s="58"/>
      <c r="BC620" s="58"/>
      <c r="BD620" s="58"/>
      <c r="BE620" s="1917">
        <f t="shared" si="0"/>
        <v>0</v>
      </c>
      <c r="BF620" s="1919"/>
      <c r="BG620" s="1902">
        <f t="shared" si="1"/>
        <v>0</v>
      </c>
      <c r="BH620" s="1904"/>
      <c r="BI620" s="1917">
        <f t="shared" si="2"/>
        <v>0</v>
      </c>
      <c r="BJ620" s="1919"/>
      <c r="BK620" s="1902">
        <f t="shared" si="3"/>
        <v>0</v>
      </c>
      <c r="BL620" s="1904"/>
      <c r="BM620" s="58"/>
      <c r="BN620" s="1902">
        <f t="shared" si="4"/>
        <v>0</v>
      </c>
      <c r="BO620" s="1903"/>
      <c r="BP620" s="1903"/>
      <c r="BQ620" s="1903"/>
      <c r="BR620" s="1904"/>
      <c r="BS620" s="1901">
        <f t="shared" si="5"/>
        <v>0</v>
      </c>
      <c r="BT620" s="1901"/>
      <c r="BU620" s="1901"/>
      <c r="BV620" s="1901"/>
      <c r="BW620" s="1901"/>
      <c r="BX620" s="1901">
        <f t="shared" si="6"/>
        <v>0</v>
      </c>
      <c r="BY620" s="1901"/>
      <c r="BZ620" s="1901"/>
      <c r="CA620" s="1901"/>
      <c r="CB620" s="1901"/>
      <c r="CC620" s="1901">
        <f t="shared" si="7"/>
        <v>9</v>
      </c>
      <c r="CD620" s="1901"/>
      <c r="CE620" s="1901"/>
      <c r="CF620" s="1901"/>
      <c r="CG620" s="1901"/>
      <c r="CH620" s="1901">
        <f t="shared" si="8"/>
        <v>0</v>
      </c>
      <c r="CI620" s="1901"/>
      <c r="CJ620" s="1901"/>
      <c r="CK620" s="1901"/>
      <c r="CL620" s="1901"/>
      <c r="CM620" s="1901">
        <f t="shared" si="9"/>
        <v>0</v>
      </c>
      <c r="CN620" s="1901"/>
      <c r="CO620" s="1901"/>
      <c r="CP620" s="1901"/>
      <c r="CQ620" s="1901"/>
      <c r="CR620" s="265"/>
      <c r="CS620" s="2219">
        <f t="shared" si="10"/>
        <v>0</v>
      </c>
      <c r="CT620" s="2219"/>
      <c r="CU620" s="2219"/>
      <c r="CV620" s="2219"/>
      <c r="CW620" s="2219"/>
      <c r="CX620" s="2219">
        <f t="shared" si="11"/>
        <v>0</v>
      </c>
      <c r="CY620" s="2219"/>
      <c r="CZ620" s="2219"/>
      <c r="DA620" s="2219"/>
      <c r="DB620" s="2219"/>
      <c r="DC620" s="2219">
        <f t="shared" si="12"/>
        <v>0</v>
      </c>
      <c r="DD620" s="2219"/>
      <c r="DE620" s="2219"/>
      <c r="DF620" s="2219"/>
      <c r="DG620" s="2219"/>
      <c r="DH620" s="2219">
        <f t="shared" si="13"/>
        <v>0</v>
      </c>
      <c r="DI620" s="2219"/>
      <c r="DJ620" s="2219"/>
      <c r="DK620" s="2219"/>
      <c r="DL620" s="2219"/>
      <c r="DM620" s="2219">
        <f t="shared" si="14"/>
        <v>0</v>
      </c>
      <c r="DN620" s="2219"/>
      <c r="DO620" s="2219"/>
      <c r="DP620" s="2219"/>
      <c r="DQ620" s="2219"/>
      <c r="DR620" s="2219">
        <f t="shared" si="15"/>
        <v>0</v>
      </c>
      <c r="DS620" s="2219"/>
      <c r="DT620" s="2219"/>
      <c r="DU620" s="2219"/>
      <c r="DV620" s="2219"/>
      <c r="DX620" s="1917" t="str">
        <f t="shared" si="16"/>
        <v xml:space="preserve"> </v>
      </c>
      <c r="DY620" s="1918"/>
      <c r="DZ620" s="1918"/>
      <c r="EA620" s="1918"/>
      <c r="EB620" s="1919"/>
      <c r="EC620" s="1917" t="str">
        <f t="shared" si="17"/>
        <v xml:space="preserve"> </v>
      </c>
      <c r="ED620" s="1918"/>
      <c r="EE620" s="1918"/>
      <c r="EF620" s="1918"/>
      <c r="EG620" s="1919"/>
      <c r="EH620" s="1917" t="str">
        <f t="shared" si="18"/>
        <v xml:space="preserve"> </v>
      </c>
      <c r="EI620" s="1918"/>
      <c r="EJ620" s="1918"/>
      <c r="EK620" s="1918"/>
      <c r="EL620" s="1919"/>
      <c r="EM620" s="1917">
        <f t="shared" si="19"/>
        <v>1773</v>
      </c>
      <c r="EN620" s="1918"/>
      <c r="EO620" s="1918"/>
      <c r="EP620" s="1918"/>
      <c r="EQ620" s="1919"/>
      <c r="ER620" s="1917" t="str">
        <f t="shared" si="20"/>
        <v xml:space="preserve"> </v>
      </c>
      <c r="ES620" s="1918"/>
      <c r="ET620" s="1918"/>
      <c r="EU620" s="1918"/>
      <c r="EV620" s="1919"/>
      <c r="EW620" s="1917" t="str">
        <f t="shared" si="21"/>
        <v xml:space="preserve"> </v>
      </c>
      <c r="EX620" s="1918"/>
      <c r="EY620" s="1918"/>
      <c r="EZ620" s="1918"/>
      <c r="FA620" s="1919"/>
    </row>
    <row r="621" spans="1:157" ht="12.75">
      <c r="B621" s="12" t="s">
        <v>617</v>
      </c>
      <c r="G621" s="1935"/>
      <c r="H621" s="1935"/>
      <c r="I621" s="1935"/>
      <c r="J621" s="1935"/>
      <c r="K621" s="1935"/>
      <c r="L621" s="1935"/>
      <c r="M621" s="1935"/>
      <c r="N621" s="1935"/>
      <c r="O621" s="1935"/>
      <c r="P621" s="1935"/>
      <c r="Q621" s="1935"/>
      <c r="R621" s="1935"/>
      <c r="U621" s="12" t="s">
        <v>617</v>
      </c>
      <c r="Z621" s="2162"/>
      <c r="AA621" s="2162"/>
      <c r="AB621" s="2162"/>
      <c r="AC621" s="2162"/>
      <c r="AD621" s="2162"/>
      <c r="AE621" s="2162"/>
      <c r="AF621" s="2162"/>
      <c r="AG621" s="2162"/>
      <c r="AH621" s="2162"/>
      <c r="AI621" s="2162"/>
      <c r="AJ621" s="2162"/>
      <c r="AK621" s="2162"/>
      <c r="AZ621" s="58"/>
      <c r="BA621" s="58"/>
      <c r="BB621" s="58"/>
      <c r="BC621" s="58"/>
      <c r="BD621" s="58"/>
      <c r="BE621" s="1917">
        <f t="shared" si="0"/>
        <v>0</v>
      </c>
      <c r="BF621" s="1919"/>
      <c r="BG621" s="1902">
        <f t="shared" si="1"/>
        <v>0</v>
      </c>
      <c r="BH621" s="1904"/>
      <c r="BI621" s="1917">
        <f t="shared" si="2"/>
        <v>0</v>
      </c>
      <c r="BJ621" s="1919"/>
      <c r="BK621" s="1902">
        <f t="shared" si="3"/>
        <v>0</v>
      </c>
      <c r="BL621" s="1904"/>
      <c r="BM621" s="58"/>
      <c r="BN621" s="1902">
        <f t="shared" si="4"/>
        <v>0</v>
      </c>
      <c r="BO621" s="1903"/>
      <c r="BP621" s="1903"/>
      <c r="BQ621" s="1903"/>
      <c r="BR621" s="1904"/>
      <c r="BS621" s="1901">
        <f t="shared" si="5"/>
        <v>0</v>
      </c>
      <c r="BT621" s="1901"/>
      <c r="BU621" s="1901"/>
      <c r="BV621" s="1901"/>
      <c r="BW621" s="1901"/>
      <c r="BX621" s="1901">
        <f t="shared" si="6"/>
        <v>0</v>
      </c>
      <c r="BY621" s="1901"/>
      <c r="BZ621" s="1901"/>
      <c r="CA621" s="1901"/>
      <c r="CB621" s="1901"/>
      <c r="CC621" s="1901">
        <f t="shared" si="7"/>
        <v>0</v>
      </c>
      <c r="CD621" s="1901"/>
      <c r="CE621" s="1901"/>
      <c r="CF621" s="1901"/>
      <c r="CG621" s="1901"/>
      <c r="CH621" s="1901">
        <f t="shared" si="8"/>
        <v>0</v>
      </c>
      <c r="CI621" s="1901"/>
      <c r="CJ621" s="1901"/>
      <c r="CK621" s="1901"/>
      <c r="CL621" s="1901"/>
      <c r="CM621" s="1901">
        <f t="shared" si="9"/>
        <v>0</v>
      </c>
      <c r="CN621" s="1901"/>
      <c r="CO621" s="1901"/>
      <c r="CP621" s="1901"/>
      <c r="CQ621" s="1901"/>
      <c r="CR621" s="265"/>
      <c r="CS621" s="2219">
        <f t="shared" si="10"/>
        <v>0</v>
      </c>
      <c r="CT621" s="2219"/>
      <c r="CU621" s="2219"/>
      <c r="CV621" s="2219"/>
      <c r="CW621" s="2219"/>
      <c r="CX621" s="2219">
        <f t="shared" si="11"/>
        <v>0</v>
      </c>
      <c r="CY621" s="2219"/>
      <c r="CZ621" s="2219"/>
      <c r="DA621" s="2219"/>
      <c r="DB621" s="2219"/>
      <c r="DC621" s="2219">
        <f t="shared" si="12"/>
        <v>0</v>
      </c>
      <c r="DD621" s="2219"/>
      <c r="DE621" s="2219"/>
      <c r="DF621" s="2219"/>
      <c r="DG621" s="2219"/>
      <c r="DH621" s="2219">
        <f t="shared" si="13"/>
        <v>0</v>
      </c>
      <c r="DI621" s="2219"/>
      <c r="DJ621" s="2219"/>
      <c r="DK621" s="2219"/>
      <c r="DL621" s="2219"/>
      <c r="DM621" s="2219">
        <f t="shared" si="14"/>
        <v>0</v>
      </c>
      <c r="DN621" s="2219"/>
      <c r="DO621" s="2219"/>
      <c r="DP621" s="2219"/>
      <c r="DQ621" s="2219"/>
      <c r="DR621" s="2219">
        <f t="shared" si="15"/>
        <v>0</v>
      </c>
      <c r="DS621" s="2219"/>
      <c r="DT621" s="2219"/>
      <c r="DU621" s="2219"/>
      <c r="DV621" s="2219"/>
      <c r="DX621" s="1917" t="str">
        <f t="shared" si="16"/>
        <v xml:space="preserve"> </v>
      </c>
      <c r="DY621" s="1918"/>
      <c r="DZ621" s="1918"/>
      <c r="EA621" s="1918"/>
      <c r="EB621" s="1919"/>
      <c r="EC621" s="1917" t="str">
        <f t="shared" si="17"/>
        <v xml:space="preserve"> </v>
      </c>
      <c r="ED621" s="1918"/>
      <c r="EE621" s="1918"/>
      <c r="EF621" s="1918"/>
      <c r="EG621" s="1919"/>
      <c r="EH621" s="1917" t="str">
        <f t="shared" si="18"/>
        <v xml:space="preserve"> </v>
      </c>
      <c r="EI621" s="1918"/>
      <c r="EJ621" s="1918"/>
      <c r="EK621" s="1918"/>
      <c r="EL621" s="1919"/>
      <c r="EM621" s="1917" t="str">
        <f t="shared" si="19"/>
        <v xml:space="preserve"> </v>
      </c>
      <c r="EN621" s="1918"/>
      <c r="EO621" s="1918"/>
      <c r="EP621" s="1918"/>
      <c r="EQ621" s="1919"/>
      <c r="ER621" s="1917" t="str">
        <f t="shared" si="20"/>
        <v xml:space="preserve"> </v>
      </c>
      <c r="ES621" s="1918"/>
      <c r="ET621" s="1918"/>
      <c r="EU621" s="1918"/>
      <c r="EV621" s="1919"/>
      <c r="EW621" s="1917" t="str">
        <f t="shared" si="21"/>
        <v xml:space="preserve"> </v>
      </c>
      <c r="EX621" s="1918"/>
      <c r="EY621" s="1918"/>
      <c r="EZ621" s="1918"/>
      <c r="FA621" s="1919"/>
    </row>
    <row r="622" spans="1:157" ht="12.75">
      <c r="B622" s="12" t="s">
        <v>17</v>
      </c>
      <c r="G622" s="1935"/>
      <c r="H622" s="1935"/>
      <c r="I622" s="1935"/>
      <c r="J622" s="1935"/>
      <c r="K622" s="1935"/>
      <c r="L622" s="1935"/>
      <c r="M622" s="1935"/>
      <c r="N622" s="1935"/>
      <c r="O622" s="1935"/>
      <c r="P622" s="1935"/>
      <c r="Q622" s="1935"/>
      <c r="R622" s="1935"/>
      <c r="U622" s="12" t="s">
        <v>17</v>
      </c>
      <c r="Z622" s="2162"/>
      <c r="AA622" s="2162"/>
      <c r="AB622" s="2162"/>
      <c r="AC622" s="2162"/>
      <c r="AD622" s="2162"/>
      <c r="AE622" s="2162"/>
      <c r="AF622" s="2162"/>
      <c r="AG622" s="2162"/>
      <c r="AH622" s="2162"/>
      <c r="AI622" s="2162"/>
      <c r="AJ622" s="2162"/>
      <c r="AK622" s="2162"/>
      <c r="AZ622" s="58"/>
      <c r="BA622" s="58"/>
      <c r="BB622" s="58"/>
      <c r="BC622" s="58"/>
      <c r="BD622" s="58"/>
      <c r="BE622" s="1917">
        <f t="shared" si="0"/>
        <v>0</v>
      </c>
      <c r="BF622" s="1919"/>
      <c r="BG622" s="1902">
        <f t="shared" si="1"/>
        <v>0</v>
      </c>
      <c r="BH622" s="1904"/>
      <c r="BI622" s="1917">
        <f t="shared" si="2"/>
        <v>0</v>
      </c>
      <c r="BJ622" s="1919"/>
      <c r="BK622" s="1902">
        <f t="shared" si="3"/>
        <v>0</v>
      </c>
      <c r="BL622" s="1904"/>
      <c r="BM622" s="58"/>
      <c r="BN622" s="1902">
        <f t="shared" si="4"/>
        <v>0</v>
      </c>
      <c r="BO622" s="1903"/>
      <c r="BP622" s="1903"/>
      <c r="BQ622" s="1903"/>
      <c r="BR622" s="1904"/>
      <c r="BS622" s="1901">
        <f t="shared" si="5"/>
        <v>0</v>
      </c>
      <c r="BT622" s="1901"/>
      <c r="BU622" s="1901"/>
      <c r="BV622" s="1901"/>
      <c r="BW622" s="1901"/>
      <c r="BX622" s="1901">
        <f t="shared" si="6"/>
        <v>0</v>
      </c>
      <c r="BY622" s="1901"/>
      <c r="BZ622" s="1901"/>
      <c r="CA622" s="1901"/>
      <c r="CB622" s="1901"/>
      <c r="CC622" s="1901">
        <f t="shared" si="7"/>
        <v>0</v>
      </c>
      <c r="CD622" s="1901"/>
      <c r="CE622" s="1901"/>
      <c r="CF622" s="1901"/>
      <c r="CG622" s="1901"/>
      <c r="CH622" s="1901">
        <f t="shared" si="8"/>
        <v>0</v>
      </c>
      <c r="CI622" s="1901"/>
      <c r="CJ622" s="1901"/>
      <c r="CK622" s="1901"/>
      <c r="CL622" s="1901"/>
      <c r="CM622" s="1901">
        <f t="shared" si="9"/>
        <v>0</v>
      </c>
      <c r="CN622" s="1901"/>
      <c r="CO622" s="1901"/>
      <c r="CP622" s="1901"/>
      <c r="CQ622" s="1901"/>
      <c r="CR622" s="265"/>
      <c r="CS622" s="2219">
        <f t="shared" si="10"/>
        <v>0</v>
      </c>
      <c r="CT622" s="2219"/>
      <c r="CU622" s="2219"/>
      <c r="CV622" s="2219"/>
      <c r="CW622" s="2219"/>
      <c r="CX622" s="2219">
        <f t="shared" si="11"/>
        <v>0</v>
      </c>
      <c r="CY622" s="2219"/>
      <c r="CZ622" s="2219"/>
      <c r="DA622" s="2219"/>
      <c r="DB622" s="2219"/>
      <c r="DC622" s="2219">
        <f t="shared" si="12"/>
        <v>0</v>
      </c>
      <c r="DD622" s="2219"/>
      <c r="DE622" s="2219"/>
      <c r="DF622" s="2219"/>
      <c r="DG622" s="2219"/>
      <c r="DH622" s="2219">
        <f t="shared" si="13"/>
        <v>0</v>
      </c>
      <c r="DI622" s="2219"/>
      <c r="DJ622" s="2219"/>
      <c r="DK622" s="2219"/>
      <c r="DL622" s="2219"/>
      <c r="DM622" s="2219">
        <f t="shared" si="14"/>
        <v>0</v>
      </c>
      <c r="DN622" s="2219"/>
      <c r="DO622" s="2219"/>
      <c r="DP622" s="2219"/>
      <c r="DQ622" s="2219"/>
      <c r="DR622" s="2219">
        <f t="shared" si="15"/>
        <v>0</v>
      </c>
      <c r="DS622" s="2219"/>
      <c r="DT622" s="2219"/>
      <c r="DU622" s="2219"/>
      <c r="DV622" s="2219"/>
      <c r="DX622" s="1917" t="str">
        <f t="shared" si="16"/>
        <v xml:space="preserve"> </v>
      </c>
      <c r="DY622" s="1918"/>
      <c r="DZ622" s="1918"/>
      <c r="EA622" s="1918"/>
      <c r="EB622" s="1919"/>
      <c r="EC622" s="1917" t="str">
        <f t="shared" si="17"/>
        <v xml:space="preserve"> </v>
      </c>
      <c r="ED622" s="1918"/>
      <c r="EE622" s="1918"/>
      <c r="EF622" s="1918"/>
      <c r="EG622" s="1919"/>
      <c r="EH622" s="1917" t="str">
        <f t="shared" si="18"/>
        <v xml:space="preserve"> </v>
      </c>
      <c r="EI622" s="1918"/>
      <c r="EJ622" s="1918"/>
      <c r="EK622" s="1918"/>
      <c r="EL622" s="1919"/>
      <c r="EM622" s="1917" t="str">
        <f t="shared" si="19"/>
        <v xml:space="preserve"> </v>
      </c>
      <c r="EN622" s="1918"/>
      <c r="EO622" s="1918"/>
      <c r="EP622" s="1918"/>
      <c r="EQ622" s="1919"/>
      <c r="ER622" s="1917" t="str">
        <f t="shared" si="20"/>
        <v xml:space="preserve"> </v>
      </c>
      <c r="ES622" s="1918"/>
      <c r="ET622" s="1918"/>
      <c r="EU622" s="1918"/>
      <c r="EV622" s="1919"/>
      <c r="EW622" s="1917" t="str">
        <f t="shared" si="21"/>
        <v xml:space="preserve"> </v>
      </c>
      <c r="EX622" s="1918"/>
      <c r="EY622" s="1918"/>
      <c r="EZ622" s="1918"/>
      <c r="FA622" s="1919"/>
    </row>
    <row r="623" spans="1:157" ht="12.75">
      <c r="B623" s="12" t="s">
        <v>327</v>
      </c>
      <c r="G623" s="2157"/>
      <c r="H623" s="2157"/>
      <c r="I623" s="2157"/>
      <c r="J623" s="2157"/>
      <c r="K623" s="2157"/>
      <c r="L623" s="2157"/>
      <c r="O623" s="137" t="s">
        <v>212</v>
      </c>
      <c r="P623" s="1958"/>
      <c r="Q623" s="1958"/>
      <c r="R623" s="1958"/>
      <c r="U623" s="12" t="s">
        <v>327</v>
      </c>
      <c r="Z623" s="2157"/>
      <c r="AA623" s="2157"/>
      <c r="AB623" s="2157"/>
      <c r="AC623" s="2157"/>
      <c r="AD623" s="2157"/>
      <c r="AE623" s="2157"/>
      <c r="AH623" s="137" t="s">
        <v>212</v>
      </c>
      <c r="AI623" s="1958"/>
      <c r="AJ623" s="1958"/>
      <c r="AK623" s="1958"/>
      <c r="AZ623" s="58"/>
      <c r="BA623" s="58"/>
      <c r="BB623" s="58"/>
      <c r="BC623" s="58"/>
      <c r="BD623" s="58"/>
      <c r="BE623" s="1917">
        <f t="shared" si="0"/>
        <v>0</v>
      </c>
      <c r="BF623" s="1919"/>
      <c r="BG623" s="1902">
        <f t="shared" si="1"/>
        <v>0</v>
      </c>
      <c r="BH623" s="1904"/>
      <c r="BI623" s="1917">
        <f t="shared" si="2"/>
        <v>0</v>
      </c>
      <c r="BJ623" s="1919"/>
      <c r="BK623" s="1902">
        <f t="shared" si="3"/>
        <v>0</v>
      </c>
      <c r="BL623" s="1904"/>
      <c r="BM623" s="58"/>
      <c r="BN623" s="1902">
        <f t="shared" si="4"/>
        <v>0</v>
      </c>
      <c r="BO623" s="1903"/>
      <c r="BP623" s="1903"/>
      <c r="BQ623" s="1903"/>
      <c r="BR623" s="1904"/>
      <c r="BS623" s="1901">
        <f t="shared" si="5"/>
        <v>0</v>
      </c>
      <c r="BT623" s="1901"/>
      <c r="BU623" s="1901"/>
      <c r="BV623" s="1901"/>
      <c r="BW623" s="1901"/>
      <c r="BX623" s="1901">
        <f t="shared" si="6"/>
        <v>0</v>
      </c>
      <c r="BY623" s="1901"/>
      <c r="BZ623" s="1901"/>
      <c r="CA623" s="1901"/>
      <c r="CB623" s="1901"/>
      <c r="CC623" s="1901">
        <f t="shared" si="7"/>
        <v>0</v>
      </c>
      <c r="CD623" s="1901"/>
      <c r="CE623" s="1901"/>
      <c r="CF623" s="1901"/>
      <c r="CG623" s="1901"/>
      <c r="CH623" s="1901">
        <f t="shared" si="8"/>
        <v>0</v>
      </c>
      <c r="CI623" s="1901"/>
      <c r="CJ623" s="1901"/>
      <c r="CK623" s="1901"/>
      <c r="CL623" s="1901"/>
      <c r="CM623" s="1901">
        <f t="shared" si="9"/>
        <v>0</v>
      </c>
      <c r="CN623" s="1901"/>
      <c r="CO623" s="1901"/>
      <c r="CP623" s="1901"/>
      <c r="CQ623" s="1901"/>
      <c r="CR623" s="265"/>
      <c r="CS623" s="2219">
        <f t="shared" si="10"/>
        <v>0</v>
      </c>
      <c r="CT623" s="2219"/>
      <c r="CU623" s="2219"/>
      <c r="CV623" s="2219"/>
      <c r="CW623" s="2219"/>
      <c r="CX623" s="2219">
        <f t="shared" si="11"/>
        <v>0</v>
      </c>
      <c r="CY623" s="2219"/>
      <c r="CZ623" s="2219"/>
      <c r="DA623" s="2219"/>
      <c r="DB623" s="2219"/>
      <c r="DC623" s="2219">
        <f t="shared" si="12"/>
        <v>0</v>
      </c>
      <c r="DD623" s="2219"/>
      <c r="DE623" s="2219"/>
      <c r="DF623" s="2219"/>
      <c r="DG623" s="2219"/>
      <c r="DH623" s="2219">
        <f t="shared" si="13"/>
        <v>0</v>
      </c>
      <c r="DI623" s="2219"/>
      <c r="DJ623" s="2219"/>
      <c r="DK623" s="2219"/>
      <c r="DL623" s="2219"/>
      <c r="DM623" s="2219">
        <f t="shared" si="14"/>
        <v>0</v>
      </c>
      <c r="DN623" s="2219"/>
      <c r="DO623" s="2219"/>
      <c r="DP623" s="2219"/>
      <c r="DQ623" s="2219"/>
      <c r="DR623" s="2219">
        <f t="shared" si="15"/>
        <v>0</v>
      </c>
      <c r="DS623" s="2219"/>
      <c r="DT623" s="2219"/>
      <c r="DU623" s="2219"/>
      <c r="DV623" s="2219"/>
      <c r="DX623" s="1917" t="str">
        <f t="shared" si="16"/>
        <v xml:space="preserve"> </v>
      </c>
      <c r="DY623" s="1918"/>
      <c r="DZ623" s="1918"/>
      <c r="EA623" s="1918"/>
      <c r="EB623" s="1919"/>
      <c r="EC623" s="1917" t="str">
        <f t="shared" si="17"/>
        <v xml:space="preserve"> </v>
      </c>
      <c r="ED623" s="1918"/>
      <c r="EE623" s="1918"/>
      <c r="EF623" s="1918"/>
      <c r="EG623" s="1919"/>
      <c r="EH623" s="1917" t="str">
        <f t="shared" si="18"/>
        <v xml:space="preserve"> </v>
      </c>
      <c r="EI623" s="1918"/>
      <c r="EJ623" s="1918"/>
      <c r="EK623" s="1918"/>
      <c r="EL623" s="1919"/>
      <c r="EM623" s="1917" t="str">
        <f t="shared" si="19"/>
        <v xml:space="preserve"> </v>
      </c>
      <c r="EN623" s="1918"/>
      <c r="EO623" s="1918"/>
      <c r="EP623" s="1918"/>
      <c r="EQ623" s="1919"/>
      <c r="ER623" s="1917" t="str">
        <f t="shared" si="20"/>
        <v xml:space="preserve"> </v>
      </c>
      <c r="ES623" s="1918"/>
      <c r="ET623" s="1918"/>
      <c r="EU623" s="1918"/>
      <c r="EV623" s="1919"/>
      <c r="EW623" s="1917" t="str">
        <f t="shared" si="21"/>
        <v xml:space="preserve"> </v>
      </c>
      <c r="EX623" s="1918"/>
      <c r="EY623" s="1918"/>
      <c r="EZ623" s="1918"/>
      <c r="FA623" s="1919"/>
    </row>
    <row r="624" spans="1:157" ht="12.75">
      <c r="B624" s="12" t="s">
        <v>18</v>
      </c>
      <c r="H624" s="1935"/>
      <c r="I624" s="1935"/>
      <c r="J624" s="1935"/>
      <c r="K624" s="1935"/>
      <c r="L624" s="1935"/>
      <c r="M624" s="1935"/>
      <c r="N624" s="1935"/>
      <c r="O624" s="1935"/>
      <c r="P624" s="1935"/>
      <c r="Q624" s="1935"/>
      <c r="R624" s="1935"/>
      <c r="U624" s="12" t="s">
        <v>18</v>
      </c>
      <c r="AA624" s="1935"/>
      <c r="AB624" s="1935"/>
      <c r="AC624" s="1935"/>
      <c r="AD624" s="1935"/>
      <c r="AE624" s="1935"/>
      <c r="AF624" s="1935"/>
      <c r="AG624" s="1935"/>
      <c r="AH624" s="1935"/>
      <c r="AI624" s="1935"/>
      <c r="AJ624" s="1935"/>
      <c r="AK624" s="1935"/>
      <c r="AZ624" s="58"/>
      <c r="BA624" s="58"/>
      <c r="BB624" s="58"/>
      <c r="BC624" s="58"/>
      <c r="BD624" s="58"/>
      <c r="BE624" s="1917">
        <f t="shared" si="0"/>
        <v>0</v>
      </c>
      <c r="BF624" s="1919"/>
      <c r="BG624" s="1902">
        <f t="shared" si="1"/>
        <v>0</v>
      </c>
      <c r="BH624" s="1904"/>
      <c r="BI624" s="1917">
        <f t="shared" si="2"/>
        <v>0</v>
      </c>
      <c r="BJ624" s="1919"/>
      <c r="BK624" s="1902">
        <f t="shared" si="3"/>
        <v>0</v>
      </c>
      <c r="BL624" s="1904"/>
      <c r="BM624" s="58"/>
      <c r="BN624" s="1902">
        <f t="shared" si="4"/>
        <v>0</v>
      </c>
      <c r="BO624" s="1903"/>
      <c r="BP624" s="1903"/>
      <c r="BQ624" s="1903"/>
      <c r="BR624" s="1904"/>
      <c r="BS624" s="1901">
        <f t="shared" si="5"/>
        <v>0</v>
      </c>
      <c r="BT624" s="1901"/>
      <c r="BU624" s="1901"/>
      <c r="BV624" s="1901"/>
      <c r="BW624" s="1901"/>
      <c r="BX624" s="1901">
        <f t="shared" si="6"/>
        <v>0</v>
      </c>
      <c r="BY624" s="1901"/>
      <c r="BZ624" s="1901"/>
      <c r="CA624" s="1901"/>
      <c r="CB624" s="1901"/>
      <c r="CC624" s="1901">
        <f t="shared" si="7"/>
        <v>0</v>
      </c>
      <c r="CD624" s="1901"/>
      <c r="CE624" s="1901"/>
      <c r="CF624" s="1901"/>
      <c r="CG624" s="1901"/>
      <c r="CH624" s="1901">
        <f t="shared" si="8"/>
        <v>0</v>
      </c>
      <c r="CI624" s="1901"/>
      <c r="CJ624" s="1901"/>
      <c r="CK624" s="1901"/>
      <c r="CL624" s="1901"/>
      <c r="CM624" s="1901">
        <f t="shared" si="9"/>
        <v>0</v>
      </c>
      <c r="CN624" s="1901"/>
      <c r="CO624" s="1901"/>
      <c r="CP624" s="1901"/>
      <c r="CQ624" s="1901"/>
      <c r="CR624" s="265"/>
      <c r="CS624" s="2219">
        <f t="shared" si="10"/>
        <v>0</v>
      </c>
      <c r="CT624" s="2219"/>
      <c r="CU624" s="2219"/>
      <c r="CV624" s="2219"/>
      <c r="CW624" s="2219"/>
      <c r="CX624" s="2219">
        <f t="shared" si="11"/>
        <v>0</v>
      </c>
      <c r="CY624" s="2219"/>
      <c r="CZ624" s="2219"/>
      <c r="DA624" s="2219"/>
      <c r="DB624" s="2219"/>
      <c r="DC624" s="2219">
        <f t="shared" si="12"/>
        <v>0</v>
      </c>
      <c r="DD624" s="2219"/>
      <c r="DE624" s="2219"/>
      <c r="DF624" s="2219"/>
      <c r="DG624" s="2219"/>
      <c r="DH624" s="2219">
        <f t="shared" si="13"/>
        <v>0</v>
      </c>
      <c r="DI624" s="2219"/>
      <c r="DJ624" s="2219"/>
      <c r="DK624" s="2219"/>
      <c r="DL624" s="2219"/>
      <c r="DM624" s="2219">
        <f t="shared" si="14"/>
        <v>0</v>
      </c>
      <c r="DN624" s="2219"/>
      <c r="DO624" s="2219"/>
      <c r="DP624" s="2219"/>
      <c r="DQ624" s="2219"/>
      <c r="DR624" s="2219">
        <f t="shared" si="15"/>
        <v>0</v>
      </c>
      <c r="DS624" s="2219"/>
      <c r="DT624" s="2219"/>
      <c r="DU624" s="2219"/>
      <c r="DV624" s="2219"/>
      <c r="DX624" s="1917" t="str">
        <f t="shared" si="16"/>
        <v xml:space="preserve"> </v>
      </c>
      <c r="DY624" s="1918"/>
      <c r="DZ624" s="1918"/>
      <c r="EA624" s="1918"/>
      <c r="EB624" s="1919"/>
      <c r="EC624" s="1917" t="str">
        <f t="shared" si="17"/>
        <v xml:space="preserve"> </v>
      </c>
      <c r="ED624" s="1918"/>
      <c r="EE624" s="1918"/>
      <c r="EF624" s="1918"/>
      <c r="EG624" s="1919"/>
      <c r="EH624" s="1917" t="str">
        <f t="shared" si="18"/>
        <v xml:space="preserve"> </v>
      </c>
      <c r="EI624" s="1918"/>
      <c r="EJ624" s="1918"/>
      <c r="EK624" s="1918"/>
      <c r="EL624" s="1919"/>
      <c r="EM624" s="1917" t="str">
        <f t="shared" si="19"/>
        <v xml:space="preserve"> </v>
      </c>
      <c r="EN624" s="1918"/>
      <c r="EO624" s="1918"/>
      <c r="EP624" s="1918"/>
      <c r="EQ624" s="1919"/>
      <c r="ER624" s="1917" t="str">
        <f t="shared" si="20"/>
        <v xml:space="preserve"> </v>
      </c>
      <c r="ES624" s="1918"/>
      <c r="ET624" s="1918"/>
      <c r="EU624" s="1918"/>
      <c r="EV624" s="1919"/>
      <c r="EW624" s="1917" t="str">
        <f t="shared" si="21"/>
        <v xml:space="preserve"> </v>
      </c>
      <c r="EX624" s="1918"/>
      <c r="EY624" s="1918"/>
      <c r="EZ624" s="1918"/>
      <c r="FA624" s="1919"/>
    </row>
    <row r="625" spans="1:157" ht="12.75">
      <c r="B625" s="12" t="s">
        <v>20</v>
      </c>
      <c r="N625" s="1961" t="s">
        <v>708</v>
      </c>
      <c r="O625" s="1961"/>
      <c r="U625" s="12" t="s">
        <v>20</v>
      </c>
      <c r="AG625" s="1961" t="s">
        <v>708</v>
      </c>
      <c r="AH625" s="1961"/>
      <c r="AZ625" s="58"/>
      <c r="BA625" s="58"/>
      <c r="BB625" s="58"/>
      <c r="BC625" s="58"/>
      <c r="BD625" s="58"/>
      <c r="BE625" s="1917">
        <f t="shared" si="0"/>
        <v>0</v>
      </c>
      <c r="BF625" s="1919"/>
      <c r="BG625" s="1902">
        <f t="shared" si="1"/>
        <v>0</v>
      </c>
      <c r="BH625" s="1904"/>
      <c r="BI625" s="1917">
        <f t="shared" si="2"/>
        <v>0</v>
      </c>
      <c r="BJ625" s="1919"/>
      <c r="BK625" s="1902">
        <f t="shared" si="3"/>
        <v>0</v>
      </c>
      <c r="BL625" s="1904"/>
      <c r="BM625" s="58"/>
      <c r="BN625" s="1902">
        <f t="shared" si="4"/>
        <v>0</v>
      </c>
      <c r="BO625" s="1903"/>
      <c r="BP625" s="1903"/>
      <c r="BQ625" s="1903"/>
      <c r="BR625" s="1904"/>
      <c r="BS625" s="1901">
        <f t="shared" si="5"/>
        <v>0</v>
      </c>
      <c r="BT625" s="1901"/>
      <c r="BU625" s="1901"/>
      <c r="BV625" s="1901"/>
      <c r="BW625" s="1901"/>
      <c r="BX625" s="1901">
        <f t="shared" si="6"/>
        <v>0</v>
      </c>
      <c r="BY625" s="1901"/>
      <c r="BZ625" s="1901"/>
      <c r="CA625" s="1901"/>
      <c r="CB625" s="1901"/>
      <c r="CC625" s="1901">
        <f t="shared" si="7"/>
        <v>0</v>
      </c>
      <c r="CD625" s="1901"/>
      <c r="CE625" s="1901"/>
      <c r="CF625" s="1901"/>
      <c r="CG625" s="1901"/>
      <c r="CH625" s="1901">
        <f t="shared" si="8"/>
        <v>0</v>
      </c>
      <c r="CI625" s="1901"/>
      <c r="CJ625" s="1901"/>
      <c r="CK625" s="1901"/>
      <c r="CL625" s="1901"/>
      <c r="CM625" s="1901">
        <f t="shared" si="9"/>
        <v>0</v>
      </c>
      <c r="CN625" s="1901"/>
      <c r="CO625" s="1901"/>
      <c r="CP625" s="1901"/>
      <c r="CQ625" s="1901"/>
      <c r="CR625" s="265"/>
      <c r="CS625" s="2219">
        <f t="shared" si="10"/>
        <v>0</v>
      </c>
      <c r="CT625" s="2219"/>
      <c r="CU625" s="2219"/>
      <c r="CV625" s="2219"/>
      <c r="CW625" s="2219"/>
      <c r="CX625" s="2219">
        <f t="shared" si="11"/>
        <v>0</v>
      </c>
      <c r="CY625" s="2219"/>
      <c r="CZ625" s="2219"/>
      <c r="DA625" s="2219"/>
      <c r="DB625" s="2219"/>
      <c r="DC625" s="2219">
        <f t="shared" si="12"/>
        <v>0</v>
      </c>
      <c r="DD625" s="2219"/>
      <c r="DE625" s="2219"/>
      <c r="DF625" s="2219"/>
      <c r="DG625" s="2219"/>
      <c r="DH625" s="2219">
        <f t="shared" si="13"/>
        <v>0</v>
      </c>
      <c r="DI625" s="2219"/>
      <c r="DJ625" s="2219"/>
      <c r="DK625" s="2219"/>
      <c r="DL625" s="2219"/>
      <c r="DM625" s="2219">
        <f t="shared" si="14"/>
        <v>0</v>
      </c>
      <c r="DN625" s="2219"/>
      <c r="DO625" s="2219"/>
      <c r="DP625" s="2219"/>
      <c r="DQ625" s="2219"/>
      <c r="DR625" s="2219">
        <f t="shared" si="15"/>
        <v>0</v>
      </c>
      <c r="DS625" s="2219"/>
      <c r="DT625" s="2219"/>
      <c r="DU625" s="2219"/>
      <c r="DV625" s="2219"/>
      <c r="DX625" s="1917" t="str">
        <f t="shared" si="16"/>
        <v xml:space="preserve"> </v>
      </c>
      <c r="DY625" s="1918"/>
      <c r="DZ625" s="1918"/>
      <c r="EA625" s="1918"/>
      <c r="EB625" s="1919"/>
      <c r="EC625" s="1917" t="str">
        <f t="shared" si="17"/>
        <v xml:space="preserve"> </v>
      </c>
      <c r="ED625" s="1918"/>
      <c r="EE625" s="1918"/>
      <c r="EF625" s="1918"/>
      <c r="EG625" s="1919"/>
      <c r="EH625" s="1917" t="str">
        <f t="shared" si="18"/>
        <v xml:space="preserve"> </v>
      </c>
      <c r="EI625" s="1918"/>
      <c r="EJ625" s="1918"/>
      <c r="EK625" s="1918"/>
      <c r="EL625" s="1919"/>
      <c r="EM625" s="1917" t="str">
        <f t="shared" si="19"/>
        <v xml:space="preserve"> </v>
      </c>
      <c r="EN625" s="1918"/>
      <c r="EO625" s="1918"/>
      <c r="EP625" s="1918"/>
      <c r="EQ625" s="1919"/>
      <c r="ER625" s="1917" t="str">
        <f t="shared" si="20"/>
        <v xml:space="preserve"> </v>
      </c>
      <c r="ES625" s="1918"/>
      <c r="ET625" s="1918"/>
      <c r="EU625" s="1918"/>
      <c r="EV625" s="1919"/>
      <c r="EW625" s="1917" t="str">
        <f t="shared" si="21"/>
        <v xml:space="preserve"> </v>
      </c>
      <c r="EX625" s="1918"/>
      <c r="EY625" s="1918"/>
      <c r="EZ625" s="1918"/>
      <c r="FA625" s="1919"/>
    </row>
    <row r="626" spans="1:157" ht="12.75">
      <c r="AZ626" s="58"/>
      <c r="BA626" s="58"/>
      <c r="BB626" s="58"/>
      <c r="BC626" s="58"/>
      <c r="BD626" s="58"/>
      <c r="BE626" s="1917">
        <f t="shared" si="0"/>
        <v>0</v>
      </c>
      <c r="BF626" s="1919"/>
      <c r="BG626" s="1902">
        <f t="shared" si="1"/>
        <v>0</v>
      </c>
      <c r="BH626" s="1904"/>
      <c r="BI626" s="1917">
        <f t="shared" si="2"/>
        <v>0</v>
      </c>
      <c r="BJ626" s="1919"/>
      <c r="BK626" s="1902">
        <f t="shared" si="3"/>
        <v>0</v>
      </c>
      <c r="BL626" s="1904"/>
      <c r="BM626" s="58"/>
      <c r="BN626" s="1902">
        <f t="shared" si="4"/>
        <v>0</v>
      </c>
      <c r="BO626" s="1903"/>
      <c r="BP626" s="1903"/>
      <c r="BQ626" s="1903"/>
      <c r="BR626" s="1904"/>
      <c r="BS626" s="1901">
        <f t="shared" si="5"/>
        <v>0</v>
      </c>
      <c r="BT626" s="1901"/>
      <c r="BU626" s="1901"/>
      <c r="BV626" s="1901"/>
      <c r="BW626" s="1901"/>
      <c r="BX626" s="1901">
        <f t="shared" si="6"/>
        <v>0</v>
      </c>
      <c r="BY626" s="1901"/>
      <c r="BZ626" s="1901"/>
      <c r="CA626" s="1901"/>
      <c r="CB626" s="1901"/>
      <c r="CC626" s="1901">
        <f t="shared" si="7"/>
        <v>0</v>
      </c>
      <c r="CD626" s="1901"/>
      <c r="CE626" s="1901"/>
      <c r="CF626" s="1901"/>
      <c r="CG626" s="1901"/>
      <c r="CH626" s="1901">
        <f t="shared" si="8"/>
        <v>0</v>
      </c>
      <c r="CI626" s="1901"/>
      <c r="CJ626" s="1901"/>
      <c r="CK626" s="1901"/>
      <c r="CL626" s="1901"/>
      <c r="CM626" s="1901">
        <f t="shared" si="9"/>
        <v>0</v>
      </c>
      <c r="CN626" s="1901"/>
      <c r="CO626" s="1901"/>
      <c r="CP626" s="1901"/>
      <c r="CQ626" s="1901"/>
      <c r="CR626" s="265"/>
      <c r="CS626" s="2219">
        <f t="shared" si="10"/>
        <v>0</v>
      </c>
      <c r="CT626" s="2219"/>
      <c r="CU626" s="2219"/>
      <c r="CV626" s="2219"/>
      <c r="CW626" s="2219"/>
      <c r="CX626" s="2219">
        <f t="shared" si="11"/>
        <v>0</v>
      </c>
      <c r="CY626" s="2219"/>
      <c r="CZ626" s="2219"/>
      <c r="DA626" s="2219"/>
      <c r="DB626" s="2219"/>
      <c r="DC626" s="2219">
        <f t="shared" si="12"/>
        <v>0</v>
      </c>
      <c r="DD626" s="2219"/>
      <c r="DE626" s="2219"/>
      <c r="DF626" s="2219"/>
      <c r="DG626" s="2219"/>
      <c r="DH626" s="2219">
        <f t="shared" si="13"/>
        <v>0</v>
      </c>
      <c r="DI626" s="2219"/>
      <c r="DJ626" s="2219"/>
      <c r="DK626" s="2219"/>
      <c r="DL626" s="2219"/>
      <c r="DM626" s="2219">
        <f t="shared" si="14"/>
        <v>0</v>
      </c>
      <c r="DN626" s="2219"/>
      <c r="DO626" s="2219"/>
      <c r="DP626" s="2219"/>
      <c r="DQ626" s="2219"/>
      <c r="DR626" s="2219">
        <f t="shared" si="15"/>
        <v>0</v>
      </c>
      <c r="DS626" s="2219"/>
      <c r="DT626" s="2219"/>
      <c r="DU626" s="2219"/>
      <c r="DV626" s="2219"/>
      <c r="DX626" s="1917" t="str">
        <f t="shared" si="16"/>
        <v xml:space="preserve"> </v>
      </c>
      <c r="DY626" s="1918"/>
      <c r="DZ626" s="1918"/>
      <c r="EA626" s="1918"/>
      <c r="EB626" s="1919"/>
      <c r="EC626" s="1917" t="str">
        <f t="shared" si="17"/>
        <v xml:space="preserve"> </v>
      </c>
      <c r="ED626" s="1918"/>
      <c r="EE626" s="1918"/>
      <c r="EF626" s="1918"/>
      <c r="EG626" s="1919"/>
      <c r="EH626" s="1917" t="str">
        <f t="shared" si="18"/>
        <v xml:space="preserve"> </v>
      </c>
      <c r="EI626" s="1918"/>
      <c r="EJ626" s="1918"/>
      <c r="EK626" s="1918"/>
      <c r="EL626" s="1919"/>
      <c r="EM626" s="1917" t="str">
        <f t="shared" si="19"/>
        <v xml:space="preserve"> </v>
      </c>
      <c r="EN626" s="1918"/>
      <c r="EO626" s="1918"/>
      <c r="EP626" s="1918"/>
      <c r="EQ626" s="1919"/>
      <c r="ER626" s="1917" t="str">
        <f t="shared" si="20"/>
        <v xml:space="preserve"> </v>
      </c>
      <c r="ES626" s="1918"/>
      <c r="ET626" s="1918"/>
      <c r="EU626" s="1918"/>
      <c r="EV626" s="1919"/>
      <c r="EW626" s="1917" t="str">
        <f t="shared" si="21"/>
        <v xml:space="preserve"> </v>
      </c>
      <c r="EX626" s="1918"/>
      <c r="EY626" s="1918"/>
      <c r="EZ626" s="1918"/>
      <c r="FA626" s="1919"/>
    </row>
    <row r="627" spans="1:157" ht="12.75" customHeight="1">
      <c r="A627" s="1757" t="s">
        <v>579</v>
      </c>
      <c r="B627" s="1757"/>
      <c r="C627" s="1757"/>
      <c r="D627" s="1757"/>
      <c r="E627" s="1757"/>
      <c r="F627" s="1757"/>
      <c r="G627" s="1757"/>
      <c r="H627" s="1757"/>
      <c r="I627" s="1757"/>
      <c r="J627" s="1757"/>
      <c r="K627" s="1757"/>
      <c r="L627" s="1757"/>
      <c r="M627" s="1757"/>
      <c r="N627" s="1757"/>
      <c r="O627" s="1757"/>
      <c r="P627" s="1757"/>
      <c r="Q627" s="1757"/>
      <c r="R627" s="1757"/>
      <c r="S627" s="1757"/>
      <c r="T627" s="1757"/>
      <c r="U627" s="1757"/>
      <c r="V627" s="1757"/>
      <c r="W627" s="1757"/>
      <c r="X627" s="1757"/>
      <c r="Y627" s="1757"/>
      <c r="Z627" s="1757"/>
      <c r="AA627" s="1757"/>
      <c r="AB627" s="1757"/>
      <c r="AC627" s="1757"/>
      <c r="AD627" s="1757"/>
      <c r="AE627" s="1757"/>
      <c r="AF627" s="1757"/>
      <c r="AG627" s="1757"/>
      <c r="AH627" s="1757"/>
      <c r="AI627" s="1757"/>
      <c r="AJ627" s="1757"/>
      <c r="AK627" s="1757"/>
      <c r="AL627" s="1757"/>
      <c r="AM627" s="1757"/>
      <c r="AN627" s="1757"/>
      <c r="AO627" s="1757"/>
      <c r="AP627" s="1757"/>
      <c r="AQ627" s="1757"/>
      <c r="AR627" s="1757"/>
      <c r="AS627" s="1757"/>
      <c r="AT627" s="1493"/>
      <c r="AU627" s="1493"/>
      <c r="AV627" s="1493"/>
      <c r="AW627" s="1493"/>
      <c r="AX627" s="1493"/>
      <c r="AY627" s="1493"/>
      <c r="AZ627" s="58"/>
      <c r="BA627" s="58"/>
      <c r="BB627" s="58"/>
      <c r="BC627" s="58"/>
      <c r="BD627" s="58"/>
      <c r="BE627" s="1917">
        <f t="shared" si="0"/>
        <v>0</v>
      </c>
      <c r="BF627" s="1919"/>
      <c r="BG627" s="1902">
        <f t="shared" si="1"/>
        <v>0</v>
      </c>
      <c r="BH627" s="1904"/>
      <c r="BI627" s="1917">
        <f t="shared" si="2"/>
        <v>0</v>
      </c>
      <c r="BJ627" s="1919"/>
      <c r="BK627" s="1902">
        <f t="shared" si="3"/>
        <v>0</v>
      </c>
      <c r="BL627" s="1904"/>
      <c r="BM627" s="58"/>
      <c r="BN627" s="1902">
        <f t="shared" si="4"/>
        <v>0</v>
      </c>
      <c r="BO627" s="1903"/>
      <c r="BP627" s="1903"/>
      <c r="BQ627" s="1903"/>
      <c r="BR627" s="1904"/>
      <c r="BS627" s="1901">
        <f t="shared" si="5"/>
        <v>0</v>
      </c>
      <c r="BT627" s="1901"/>
      <c r="BU627" s="1901"/>
      <c r="BV627" s="1901"/>
      <c r="BW627" s="1901"/>
      <c r="BX627" s="1901">
        <f t="shared" si="6"/>
        <v>0</v>
      </c>
      <c r="BY627" s="1901"/>
      <c r="BZ627" s="1901"/>
      <c r="CA627" s="1901"/>
      <c r="CB627" s="1901"/>
      <c r="CC627" s="1901">
        <f t="shared" si="7"/>
        <v>0</v>
      </c>
      <c r="CD627" s="1901"/>
      <c r="CE627" s="1901"/>
      <c r="CF627" s="1901"/>
      <c r="CG627" s="1901"/>
      <c r="CH627" s="1901">
        <f t="shared" si="8"/>
        <v>0</v>
      </c>
      <c r="CI627" s="1901"/>
      <c r="CJ627" s="1901"/>
      <c r="CK627" s="1901"/>
      <c r="CL627" s="1901"/>
      <c r="CM627" s="1901">
        <f t="shared" si="9"/>
        <v>0</v>
      </c>
      <c r="CN627" s="1901"/>
      <c r="CO627" s="1901"/>
      <c r="CP627" s="1901"/>
      <c r="CQ627" s="1901"/>
      <c r="CR627" s="265"/>
      <c r="CS627" s="2219">
        <f t="shared" si="10"/>
        <v>0</v>
      </c>
      <c r="CT627" s="2219"/>
      <c r="CU627" s="2219"/>
      <c r="CV627" s="2219"/>
      <c r="CW627" s="2219"/>
      <c r="CX627" s="2219">
        <f t="shared" si="11"/>
        <v>0</v>
      </c>
      <c r="CY627" s="2219"/>
      <c r="CZ627" s="2219"/>
      <c r="DA627" s="2219"/>
      <c r="DB627" s="2219"/>
      <c r="DC627" s="2219">
        <f t="shared" si="12"/>
        <v>0</v>
      </c>
      <c r="DD627" s="2219"/>
      <c r="DE627" s="2219"/>
      <c r="DF627" s="2219"/>
      <c r="DG627" s="2219"/>
      <c r="DH627" s="2219">
        <f t="shared" si="13"/>
        <v>0</v>
      </c>
      <c r="DI627" s="2219"/>
      <c r="DJ627" s="2219"/>
      <c r="DK627" s="2219"/>
      <c r="DL627" s="2219"/>
      <c r="DM627" s="2219">
        <f t="shared" si="14"/>
        <v>0</v>
      </c>
      <c r="DN627" s="2219"/>
      <c r="DO627" s="2219"/>
      <c r="DP627" s="2219"/>
      <c r="DQ627" s="2219"/>
      <c r="DR627" s="2219">
        <f t="shared" si="15"/>
        <v>0</v>
      </c>
      <c r="DS627" s="2219"/>
      <c r="DT627" s="2219"/>
      <c r="DU627" s="2219"/>
      <c r="DV627" s="2219"/>
      <c r="DX627" s="1917" t="str">
        <f t="shared" si="16"/>
        <v xml:space="preserve"> </v>
      </c>
      <c r="DY627" s="1918"/>
      <c r="DZ627" s="1918"/>
      <c r="EA627" s="1918"/>
      <c r="EB627" s="1919"/>
      <c r="EC627" s="1917" t="str">
        <f t="shared" si="17"/>
        <v xml:space="preserve"> </v>
      </c>
      <c r="ED627" s="1918"/>
      <c r="EE627" s="1918"/>
      <c r="EF627" s="1918"/>
      <c r="EG627" s="1919"/>
      <c r="EH627" s="1917" t="str">
        <f t="shared" si="18"/>
        <v xml:space="preserve"> </v>
      </c>
      <c r="EI627" s="1918"/>
      <c r="EJ627" s="1918"/>
      <c r="EK627" s="1918"/>
      <c r="EL627" s="1919"/>
      <c r="EM627" s="1917" t="str">
        <f t="shared" si="19"/>
        <v xml:space="preserve"> </v>
      </c>
      <c r="EN627" s="1918"/>
      <c r="EO627" s="1918"/>
      <c r="EP627" s="1918"/>
      <c r="EQ627" s="1919"/>
      <c r="ER627" s="1917" t="str">
        <f t="shared" si="20"/>
        <v xml:space="preserve"> </v>
      </c>
      <c r="ES627" s="1918"/>
      <c r="ET627" s="1918"/>
      <c r="EU627" s="1918"/>
      <c r="EV627" s="1919"/>
      <c r="EW627" s="1917" t="str">
        <f t="shared" si="21"/>
        <v xml:space="preserve"> </v>
      </c>
      <c r="EX627" s="1918"/>
      <c r="EY627" s="1918"/>
      <c r="EZ627" s="1918"/>
      <c r="FA627" s="1919"/>
    </row>
    <row r="628" spans="1:157" ht="12.75">
      <c r="A628" s="1757"/>
      <c r="B628" s="1757"/>
      <c r="C628" s="1757"/>
      <c r="D628" s="1757"/>
      <c r="E628" s="1757"/>
      <c r="F628" s="1757"/>
      <c r="G628" s="1757"/>
      <c r="H628" s="1757"/>
      <c r="I628" s="1757"/>
      <c r="J628" s="1757"/>
      <c r="K628" s="1757"/>
      <c r="L628" s="1757"/>
      <c r="M628" s="1757"/>
      <c r="N628" s="1757"/>
      <c r="O628" s="1757"/>
      <c r="P628" s="1757"/>
      <c r="Q628" s="1757"/>
      <c r="R628" s="1757"/>
      <c r="S628" s="1757"/>
      <c r="T628" s="1757"/>
      <c r="U628" s="1757"/>
      <c r="V628" s="1757"/>
      <c r="W628" s="1757"/>
      <c r="X628" s="1757"/>
      <c r="Y628" s="1757"/>
      <c r="Z628" s="1757"/>
      <c r="AA628" s="1757"/>
      <c r="AB628" s="1757"/>
      <c r="AC628" s="1757"/>
      <c r="AD628" s="1757"/>
      <c r="AE628" s="1757"/>
      <c r="AF628" s="1757"/>
      <c r="AG628" s="1757"/>
      <c r="AH628" s="1757"/>
      <c r="AI628" s="1757"/>
      <c r="AJ628" s="1757"/>
      <c r="AK628" s="1757"/>
      <c r="AL628" s="1757"/>
      <c r="AM628" s="1757"/>
      <c r="AN628" s="1757"/>
      <c r="AO628" s="1757"/>
      <c r="AP628" s="1757"/>
      <c r="AQ628" s="1757"/>
      <c r="AR628" s="1757"/>
      <c r="AS628" s="1757"/>
      <c r="AT628" s="1493"/>
      <c r="AU628" s="1493"/>
      <c r="AV628" s="1493"/>
      <c r="AW628" s="1493"/>
      <c r="AX628" s="1493"/>
      <c r="AY628" s="1493"/>
      <c r="AZ628" s="58"/>
      <c r="BA628" s="58"/>
      <c r="BB628" s="58"/>
      <c r="BC628" s="58"/>
      <c r="BD628" s="58"/>
      <c r="BE628" s="1917">
        <f t="shared" si="0"/>
        <v>0</v>
      </c>
      <c r="BF628" s="1919"/>
      <c r="BG628" s="1902">
        <f t="shared" si="1"/>
        <v>0</v>
      </c>
      <c r="BH628" s="1904"/>
      <c r="BI628" s="1917">
        <f t="shared" si="2"/>
        <v>0</v>
      </c>
      <c r="BJ628" s="1919"/>
      <c r="BK628" s="1902">
        <f t="shared" si="3"/>
        <v>0</v>
      </c>
      <c r="BL628" s="1904"/>
      <c r="BM628" s="58"/>
      <c r="BN628" s="1902">
        <f t="shared" si="4"/>
        <v>0</v>
      </c>
      <c r="BO628" s="1903"/>
      <c r="BP628" s="1903"/>
      <c r="BQ628" s="1903"/>
      <c r="BR628" s="1904"/>
      <c r="BS628" s="1901">
        <f t="shared" si="5"/>
        <v>0</v>
      </c>
      <c r="BT628" s="1901"/>
      <c r="BU628" s="1901"/>
      <c r="BV628" s="1901"/>
      <c r="BW628" s="1901"/>
      <c r="BX628" s="1901">
        <f t="shared" si="6"/>
        <v>0</v>
      </c>
      <c r="BY628" s="1901"/>
      <c r="BZ628" s="1901"/>
      <c r="CA628" s="1901"/>
      <c r="CB628" s="1901"/>
      <c r="CC628" s="1901">
        <f t="shared" si="7"/>
        <v>0</v>
      </c>
      <c r="CD628" s="1901"/>
      <c r="CE628" s="1901"/>
      <c r="CF628" s="1901"/>
      <c r="CG628" s="1901"/>
      <c r="CH628" s="1901">
        <f t="shared" si="8"/>
        <v>0</v>
      </c>
      <c r="CI628" s="1901"/>
      <c r="CJ628" s="1901"/>
      <c r="CK628" s="1901"/>
      <c r="CL628" s="1901"/>
      <c r="CM628" s="1901">
        <f t="shared" si="9"/>
        <v>0</v>
      </c>
      <c r="CN628" s="1901"/>
      <c r="CO628" s="1901"/>
      <c r="CP628" s="1901"/>
      <c r="CQ628" s="1901"/>
      <c r="CR628" s="265"/>
      <c r="CS628" s="2219">
        <f t="shared" si="10"/>
        <v>0</v>
      </c>
      <c r="CT628" s="2219"/>
      <c r="CU628" s="2219"/>
      <c r="CV628" s="2219"/>
      <c r="CW628" s="2219"/>
      <c r="CX628" s="2219">
        <f t="shared" si="11"/>
        <v>0</v>
      </c>
      <c r="CY628" s="2219"/>
      <c r="CZ628" s="2219"/>
      <c r="DA628" s="2219"/>
      <c r="DB628" s="2219"/>
      <c r="DC628" s="2219">
        <f t="shared" si="12"/>
        <v>0</v>
      </c>
      <c r="DD628" s="2219"/>
      <c r="DE628" s="2219"/>
      <c r="DF628" s="2219"/>
      <c r="DG628" s="2219"/>
      <c r="DH628" s="2219">
        <f t="shared" si="13"/>
        <v>0</v>
      </c>
      <c r="DI628" s="2219"/>
      <c r="DJ628" s="2219"/>
      <c r="DK628" s="2219"/>
      <c r="DL628" s="2219"/>
      <c r="DM628" s="2219">
        <f t="shared" si="14"/>
        <v>0</v>
      </c>
      <c r="DN628" s="2219"/>
      <c r="DO628" s="2219"/>
      <c r="DP628" s="2219"/>
      <c r="DQ628" s="2219"/>
      <c r="DR628" s="2219">
        <f t="shared" si="15"/>
        <v>0</v>
      </c>
      <c r="DS628" s="2219"/>
      <c r="DT628" s="2219"/>
      <c r="DU628" s="2219"/>
      <c r="DV628" s="2219"/>
      <c r="DX628" s="1917" t="str">
        <f t="shared" si="16"/>
        <v xml:space="preserve"> </v>
      </c>
      <c r="DY628" s="1918"/>
      <c r="DZ628" s="1918"/>
      <c r="EA628" s="1918"/>
      <c r="EB628" s="1919"/>
      <c r="EC628" s="1917" t="str">
        <f t="shared" si="17"/>
        <v xml:space="preserve"> </v>
      </c>
      <c r="ED628" s="1918"/>
      <c r="EE628" s="1918"/>
      <c r="EF628" s="1918"/>
      <c r="EG628" s="1919"/>
      <c r="EH628" s="1917" t="str">
        <f t="shared" si="18"/>
        <v xml:space="preserve"> </v>
      </c>
      <c r="EI628" s="1918"/>
      <c r="EJ628" s="1918"/>
      <c r="EK628" s="1918"/>
      <c r="EL628" s="1919"/>
      <c r="EM628" s="1917" t="str">
        <f t="shared" si="19"/>
        <v xml:space="preserve"> </v>
      </c>
      <c r="EN628" s="1918"/>
      <c r="EO628" s="1918"/>
      <c r="EP628" s="1918"/>
      <c r="EQ628" s="1919"/>
      <c r="ER628" s="1917" t="str">
        <f t="shared" si="20"/>
        <v xml:space="preserve"> </v>
      </c>
      <c r="ES628" s="1918"/>
      <c r="ET628" s="1918"/>
      <c r="EU628" s="1918"/>
      <c r="EV628" s="1919"/>
      <c r="EW628" s="1917" t="str">
        <f t="shared" si="21"/>
        <v xml:space="preserve"> </v>
      </c>
      <c r="EX628" s="1918"/>
      <c r="EY628" s="1918"/>
      <c r="EZ628" s="1918"/>
      <c r="FA628" s="1919"/>
    </row>
    <row r="629" spans="1:157" ht="12.75">
      <c r="A629" s="25"/>
      <c r="B629" s="25"/>
      <c r="C629" s="25"/>
      <c r="D629" s="25"/>
      <c r="E629" s="25"/>
      <c r="F629" s="25"/>
      <c r="G629" s="3"/>
      <c r="H629" s="25"/>
      <c r="AZ629" s="58"/>
      <c r="BA629" s="58"/>
      <c r="BB629" s="58"/>
      <c r="BC629" s="58"/>
      <c r="BD629" s="58"/>
      <c r="BE629" s="1917">
        <f t="shared" si="0"/>
        <v>0</v>
      </c>
      <c r="BF629" s="1919"/>
      <c r="BG629" s="1902">
        <f t="shared" si="1"/>
        <v>0</v>
      </c>
      <c r="BH629" s="1904"/>
      <c r="BI629" s="1917">
        <f t="shared" si="2"/>
        <v>0</v>
      </c>
      <c r="BJ629" s="1919"/>
      <c r="BK629" s="1902">
        <f t="shared" si="3"/>
        <v>0</v>
      </c>
      <c r="BL629" s="1904"/>
      <c r="BM629" s="58"/>
      <c r="BN629" s="1902">
        <f t="shared" si="4"/>
        <v>0</v>
      </c>
      <c r="BO629" s="1903"/>
      <c r="BP629" s="1903"/>
      <c r="BQ629" s="1903"/>
      <c r="BR629" s="1904"/>
      <c r="BS629" s="1901">
        <f t="shared" si="5"/>
        <v>0</v>
      </c>
      <c r="BT629" s="1901"/>
      <c r="BU629" s="1901"/>
      <c r="BV629" s="1901"/>
      <c r="BW629" s="1901"/>
      <c r="BX629" s="1901">
        <f t="shared" si="6"/>
        <v>0</v>
      </c>
      <c r="BY629" s="1901"/>
      <c r="BZ629" s="1901"/>
      <c r="CA629" s="1901"/>
      <c r="CB629" s="1901"/>
      <c r="CC629" s="1901">
        <f t="shared" si="7"/>
        <v>0</v>
      </c>
      <c r="CD629" s="1901"/>
      <c r="CE629" s="1901"/>
      <c r="CF629" s="1901"/>
      <c r="CG629" s="1901"/>
      <c r="CH629" s="1901">
        <f t="shared" si="8"/>
        <v>0</v>
      </c>
      <c r="CI629" s="1901"/>
      <c r="CJ629" s="1901"/>
      <c r="CK629" s="1901"/>
      <c r="CL629" s="1901"/>
      <c r="CM629" s="1901">
        <f t="shared" si="9"/>
        <v>0</v>
      </c>
      <c r="CN629" s="1901"/>
      <c r="CO629" s="1901"/>
      <c r="CP629" s="1901"/>
      <c r="CQ629" s="1901"/>
      <c r="CR629" s="265"/>
      <c r="CS629" s="2219">
        <f t="shared" si="10"/>
        <v>0</v>
      </c>
      <c r="CT629" s="2219"/>
      <c r="CU629" s="2219"/>
      <c r="CV629" s="2219"/>
      <c r="CW629" s="2219"/>
      <c r="CX629" s="2219">
        <f t="shared" si="11"/>
        <v>0</v>
      </c>
      <c r="CY629" s="2219"/>
      <c r="CZ629" s="2219"/>
      <c r="DA629" s="2219"/>
      <c r="DB629" s="2219"/>
      <c r="DC629" s="2219">
        <f t="shared" si="12"/>
        <v>0</v>
      </c>
      <c r="DD629" s="2219"/>
      <c r="DE629" s="2219"/>
      <c r="DF629" s="2219"/>
      <c r="DG629" s="2219"/>
      <c r="DH629" s="2219">
        <f t="shared" si="13"/>
        <v>0</v>
      </c>
      <c r="DI629" s="2219"/>
      <c r="DJ629" s="2219"/>
      <c r="DK629" s="2219"/>
      <c r="DL629" s="2219"/>
      <c r="DM629" s="2219">
        <f t="shared" si="14"/>
        <v>0</v>
      </c>
      <c r="DN629" s="2219"/>
      <c r="DO629" s="2219"/>
      <c r="DP629" s="2219"/>
      <c r="DQ629" s="2219"/>
      <c r="DR629" s="2219">
        <f t="shared" si="15"/>
        <v>0</v>
      </c>
      <c r="DS629" s="2219"/>
      <c r="DT629" s="2219"/>
      <c r="DU629" s="2219"/>
      <c r="DV629" s="2219"/>
      <c r="DX629" s="1917" t="str">
        <f t="shared" si="16"/>
        <v xml:space="preserve"> </v>
      </c>
      <c r="DY629" s="1918"/>
      <c r="DZ629" s="1918"/>
      <c r="EA629" s="1918"/>
      <c r="EB629" s="1919"/>
      <c r="EC629" s="1917" t="str">
        <f t="shared" si="17"/>
        <v xml:space="preserve"> </v>
      </c>
      <c r="ED629" s="1918"/>
      <c r="EE629" s="1918"/>
      <c r="EF629" s="1918"/>
      <c r="EG629" s="1919"/>
      <c r="EH629" s="1917" t="str">
        <f t="shared" si="18"/>
        <v xml:space="preserve"> </v>
      </c>
      <c r="EI629" s="1918"/>
      <c r="EJ629" s="1918"/>
      <c r="EK629" s="1918"/>
      <c r="EL629" s="1919"/>
      <c r="EM629" s="1917" t="str">
        <f t="shared" si="19"/>
        <v xml:space="preserve"> </v>
      </c>
      <c r="EN629" s="1918"/>
      <c r="EO629" s="1918"/>
      <c r="EP629" s="1918"/>
      <c r="EQ629" s="1919"/>
      <c r="ER629" s="1917" t="str">
        <f t="shared" si="20"/>
        <v xml:space="preserve"> </v>
      </c>
      <c r="ES629" s="1918"/>
      <c r="ET629" s="1918"/>
      <c r="EU629" s="1918"/>
      <c r="EV629" s="1919"/>
      <c r="EW629" s="1917" t="str">
        <f t="shared" si="21"/>
        <v xml:space="preserve"> </v>
      </c>
      <c r="EX629" s="1918"/>
      <c r="EY629" s="1918"/>
      <c r="EZ629" s="1918"/>
      <c r="FA629" s="1919"/>
    </row>
    <row r="630" spans="1:157" ht="12.75">
      <c r="A630" s="50" t="s">
        <v>330</v>
      </c>
      <c r="B630" s="50"/>
      <c r="C630" s="50" t="s">
        <v>21</v>
      </c>
      <c r="AZ630" s="58"/>
      <c r="BA630" s="58"/>
      <c r="BB630" s="58"/>
      <c r="BC630" s="58"/>
      <c r="BD630" s="58"/>
      <c r="BE630" s="1917">
        <f t="shared" si="0"/>
        <v>0</v>
      </c>
      <c r="BF630" s="1919"/>
      <c r="BG630" s="1902">
        <f t="shared" si="1"/>
        <v>0</v>
      </c>
      <c r="BH630" s="1904"/>
      <c r="BI630" s="1917">
        <f t="shared" si="2"/>
        <v>0</v>
      </c>
      <c r="BJ630" s="1919"/>
      <c r="BK630" s="1902">
        <f t="shared" si="3"/>
        <v>0</v>
      </c>
      <c r="BL630" s="1904"/>
      <c r="BM630" s="58"/>
      <c r="BN630" s="1902">
        <f t="shared" si="4"/>
        <v>0</v>
      </c>
      <c r="BO630" s="1903"/>
      <c r="BP630" s="1903"/>
      <c r="BQ630" s="1903"/>
      <c r="BR630" s="1904"/>
      <c r="BS630" s="1901">
        <f t="shared" si="5"/>
        <v>0</v>
      </c>
      <c r="BT630" s="1901"/>
      <c r="BU630" s="1901"/>
      <c r="BV630" s="1901"/>
      <c r="BW630" s="1901"/>
      <c r="BX630" s="1901">
        <f t="shared" si="6"/>
        <v>0</v>
      </c>
      <c r="BY630" s="1901"/>
      <c r="BZ630" s="1901"/>
      <c r="CA630" s="1901"/>
      <c r="CB630" s="1901"/>
      <c r="CC630" s="1901">
        <f t="shared" si="7"/>
        <v>0</v>
      </c>
      <c r="CD630" s="1901"/>
      <c r="CE630" s="1901"/>
      <c r="CF630" s="1901"/>
      <c r="CG630" s="1901"/>
      <c r="CH630" s="1901">
        <f t="shared" si="8"/>
        <v>0</v>
      </c>
      <c r="CI630" s="1901"/>
      <c r="CJ630" s="1901"/>
      <c r="CK630" s="1901"/>
      <c r="CL630" s="1901"/>
      <c r="CM630" s="1901">
        <f t="shared" si="9"/>
        <v>0</v>
      </c>
      <c r="CN630" s="1901"/>
      <c r="CO630" s="1901"/>
      <c r="CP630" s="1901"/>
      <c r="CQ630" s="1901"/>
      <c r="CR630" s="265"/>
      <c r="CS630" s="2219">
        <f t="shared" si="10"/>
        <v>0</v>
      </c>
      <c r="CT630" s="2219"/>
      <c r="CU630" s="2219"/>
      <c r="CV630" s="2219"/>
      <c r="CW630" s="2219"/>
      <c r="CX630" s="2219">
        <f t="shared" si="11"/>
        <v>0</v>
      </c>
      <c r="CY630" s="2219"/>
      <c r="CZ630" s="2219"/>
      <c r="DA630" s="2219"/>
      <c r="DB630" s="2219"/>
      <c r="DC630" s="2219">
        <f t="shared" si="12"/>
        <v>0</v>
      </c>
      <c r="DD630" s="2219"/>
      <c r="DE630" s="2219"/>
      <c r="DF630" s="2219"/>
      <c r="DG630" s="2219"/>
      <c r="DH630" s="2219">
        <f t="shared" si="13"/>
        <v>0</v>
      </c>
      <c r="DI630" s="2219"/>
      <c r="DJ630" s="2219"/>
      <c r="DK630" s="2219"/>
      <c r="DL630" s="2219"/>
      <c r="DM630" s="2219">
        <f t="shared" si="14"/>
        <v>0</v>
      </c>
      <c r="DN630" s="2219"/>
      <c r="DO630" s="2219"/>
      <c r="DP630" s="2219"/>
      <c r="DQ630" s="2219"/>
      <c r="DR630" s="2219">
        <f t="shared" si="15"/>
        <v>0</v>
      </c>
      <c r="DS630" s="2219"/>
      <c r="DT630" s="2219"/>
      <c r="DU630" s="2219"/>
      <c r="DV630" s="2219"/>
      <c r="DX630" s="1917" t="str">
        <f t="shared" si="16"/>
        <v xml:space="preserve"> </v>
      </c>
      <c r="DY630" s="1918"/>
      <c r="DZ630" s="1918"/>
      <c r="EA630" s="1918"/>
      <c r="EB630" s="1919"/>
      <c r="EC630" s="1917" t="str">
        <f t="shared" si="17"/>
        <v xml:space="preserve"> </v>
      </c>
      <c r="ED630" s="1918"/>
      <c r="EE630" s="1918"/>
      <c r="EF630" s="1918"/>
      <c r="EG630" s="1919"/>
      <c r="EH630" s="1917" t="str">
        <f t="shared" si="18"/>
        <v xml:space="preserve"> </v>
      </c>
      <c r="EI630" s="1918"/>
      <c r="EJ630" s="1918"/>
      <c r="EK630" s="1918"/>
      <c r="EL630" s="1919"/>
      <c r="EM630" s="1917" t="str">
        <f t="shared" si="19"/>
        <v xml:space="preserve"> </v>
      </c>
      <c r="EN630" s="1918"/>
      <c r="EO630" s="1918"/>
      <c r="EP630" s="1918"/>
      <c r="EQ630" s="1919"/>
      <c r="ER630" s="1917" t="str">
        <f t="shared" si="20"/>
        <v xml:space="preserve"> </v>
      </c>
      <c r="ES630" s="1918"/>
      <c r="ET630" s="1918"/>
      <c r="EU630" s="1918"/>
      <c r="EV630" s="1919"/>
      <c r="EW630" s="1917" t="str">
        <f t="shared" si="21"/>
        <v xml:space="preserve"> </v>
      </c>
      <c r="EX630" s="1918"/>
      <c r="EY630" s="1918"/>
      <c r="EZ630" s="1918"/>
      <c r="FA630" s="1919"/>
    </row>
    <row r="631" spans="1:157" ht="12.75">
      <c r="A631" s="50"/>
      <c r="B631" s="50"/>
      <c r="C631" s="50"/>
      <c r="AZ631" s="58"/>
      <c r="BA631" s="58"/>
      <c r="BB631" s="58"/>
      <c r="BC631" s="58"/>
      <c r="BD631" s="58"/>
      <c r="BE631" s="1917">
        <f t="shared" si="0"/>
        <v>0</v>
      </c>
      <c r="BF631" s="1919"/>
      <c r="BG631" s="1902">
        <f t="shared" si="1"/>
        <v>0</v>
      </c>
      <c r="BH631" s="1904"/>
      <c r="BI631" s="1917">
        <f t="shared" si="2"/>
        <v>0</v>
      </c>
      <c r="BJ631" s="1919"/>
      <c r="BK631" s="1902">
        <f t="shared" si="3"/>
        <v>0</v>
      </c>
      <c r="BL631" s="1904"/>
      <c r="BM631" s="58"/>
      <c r="BN631" s="1902">
        <f t="shared" si="4"/>
        <v>0</v>
      </c>
      <c r="BO631" s="1903"/>
      <c r="BP631" s="1903"/>
      <c r="BQ631" s="1903"/>
      <c r="BR631" s="1904"/>
      <c r="BS631" s="1901">
        <f t="shared" si="5"/>
        <v>0</v>
      </c>
      <c r="BT631" s="1901"/>
      <c r="BU631" s="1901"/>
      <c r="BV631" s="1901"/>
      <c r="BW631" s="1901"/>
      <c r="BX631" s="1901">
        <f t="shared" si="6"/>
        <v>0</v>
      </c>
      <c r="BY631" s="1901"/>
      <c r="BZ631" s="1901"/>
      <c r="CA631" s="1901"/>
      <c r="CB631" s="1901"/>
      <c r="CC631" s="1901">
        <f t="shared" si="7"/>
        <v>0</v>
      </c>
      <c r="CD631" s="1901"/>
      <c r="CE631" s="1901"/>
      <c r="CF631" s="1901"/>
      <c r="CG631" s="1901"/>
      <c r="CH631" s="1901">
        <f t="shared" si="8"/>
        <v>0</v>
      </c>
      <c r="CI631" s="1901"/>
      <c r="CJ631" s="1901"/>
      <c r="CK631" s="1901"/>
      <c r="CL631" s="1901"/>
      <c r="CM631" s="1901">
        <f t="shared" si="9"/>
        <v>0</v>
      </c>
      <c r="CN631" s="1901"/>
      <c r="CO631" s="1901"/>
      <c r="CP631" s="1901"/>
      <c r="CQ631" s="1901"/>
      <c r="CR631" s="265"/>
      <c r="CS631" s="2219">
        <f t="shared" si="10"/>
        <v>0</v>
      </c>
      <c r="CT631" s="2219"/>
      <c r="CU631" s="2219"/>
      <c r="CV631" s="2219"/>
      <c r="CW631" s="2219"/>
      <c r="CX631" s="2219">
        <f t="shared" si="11"/>
        <v>0</v>
      </c>
      <c r="CY631" s="2219"/>
      <c r="CZ631" s="2219"/>
      <c r="DA631" s="2219"/>
      <c r="DB631" s="2219"/>
      <c r="DC631" s="2219">
        <f t="shared" si="12"/>
        <v>0</v>
      </c>
      <c r="DD631" s="2219"/>
      <c r="DE631" s="2219"/>
      <c r="DF631" s="2219"/>
      <c r="DG631" s="2219"/>
      <c r="DH631" s="2219">
        <f t="shared" si="13"/>
        <v>0</v>
      </c>
      <c r="DI631" s="2219"/>
      <c r="DJ631" s="2219"/>
      <c r="DK631" s="2219"/>
      <c r="DL631" s="2219"/>
      <c r="DM631" s="2219">
        <f t="shared" si="14"/>
        <v>0</v>
      </c>
      <c r="DN631" s="2219"/>
      <c r="DO631" s="2219"/>
      <c r="DP631" s="2219"/>
      <c r="DQ631" s="2219"/>
      <c r="DR631" s="2219">
        <f t="shared" si="15"/>
        <v>0</v>
      </c>
      <c r="DS631" s="2219"/>
      <c r="DT631" s="2219"/>
      <c r="DU631" s="2219"/>
      <c r="DV631" s="2219"/>
      <c r="DX631" s="1917" t="str">
        <f t="shared" si="16"/>
        <v xml:space="preserve"> </v>
      </c>
      <c r="DY631" s="1918"/>
      <c r="DZ631" s="1918"/>
      <c r="EA631" s="1918"/>
      <c r="EB631" s="1919"/>
      <c r="EC631" s="1917" t="str">
        <f t="shared" si="17"/>
        <v xml:space="preserve"> </v>
      </c>
      <c r="ED631" s="1918"/>
      <c r="EE631" s="1918"/>
      <c r="EF631" s="1918"/>
      <c r="EG631" s="1919"/>
      <c r="EH631" s="1917" t="str">
        <f t="shared" si="18"/>
        <v xml:space="preserve"> </v>
      </c>
      <c r="EI631" s="1918"/>
      <c r="EJ631" s="1918"/>
      <c r="EK631" s="1918"/>
      <c r="EL631" s="1919"/>
      <c r="EM631" s="1917" t="str">
        <f t="shared" si="19"/>
        <v xml:space="preserve"> </v>
      </c>
      <c r="EN631" s="1918"/>
      <c r="EO631" s="1918"/>
      <c r="EP631" s="1918"/>
      <c r="EQ631" s="1919"/>
      <c r="ER631" s="1917" t="str">
        <f t="shared" si="20"/>
        <v xml:space="preserve"> </v>
      </c>
      <c r="ES631" s="1918"/>
      <c r="ET631" s="1918"/>
      <c r="EU631" s="1918"/>
      <c r="EV631" s="1919"/>
      <c r="EW631" s="1917" t="str">
        <f t="shared" si="21"/>
        <v xml:space="preserve"> </v>
      </c>
      <c r="EX631" s="1918"/>
      <c r="EY631" s="1918"/>
      <c r="EZ631" s="1918"/>
      <c r="FA631" s="191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17">
        <f t="shared" si="0"/>
        <v>0</v>
      </c>
      <c r="BF632" s="1919"/>
      <c r="BG632" s="1902">
        <f t="shared" si="1"/>
        <v>0</v>
      </c>
      <c r="BH632" s="1904"/>
      <c r="BI632" s="1917">
        <f t="shared" si="2"/>
        <v>0</v>
      </c>
      <c r="BJ632" s="1919"/>
      <c r="BK632" s="1902">
        <f t="shared" si="3"/>
        <v>0</v>
      </c>
      <c r="BL632" s="1904"/>
      <c r="BM632" s="58"/>
      <c r="BN632" s="1902">
        <f t="shared" si="4"/>
        <v>0</v>
      </c>
      <c r="BO632" s="1903"/>
      <c r="BP632" s="1903"/>
      <c r="BQ632" s="1903"/>
      <c r="BR632" s="1904"/>
      <c r="BS632" s="1901">
        <f t="shared" si="5"/>
        <v>0</v>
      </c>
      <c r="BT632" s="1901"/>
      <c r="BU632" s="1901"/>
      <c r="BV632" s="1901"/>
      <c r="BW632" s="1901"/>
      <c r="BX632" s="1901">
        <f t="shared" si="6"/>
        <v>0</v>
      </c>
      <c r="BY632" s="1901"/>
      <c r="BZ632" s="1901"/>
      <c r="CA632" s="1901"/>
      <c r="CB632" s="1901"/>
      <c r="CC632" s="1901">
        <f t="shared" si="7"/>
        <v>0</v>
      </c>
      <c r="CD632" s="1901"/>
      <c r="CE632" s="1901"/>
      <c r="CF632" s="1901"/>
      <c r="CG632" s="1901"/>
      <c r="CH632" s="1901">
        <f t="shared" si="8"/>
        <v>0</v>
      </c>
      <c r="CI632" s="1901"/>
      <c r="CJ632" s="1901"/>
      <c r="CK632" s="1901"/>
      <c r="CL632" s="1901"/>
      <c r="CM632" s="1901">
        <f t="shared" si="9"/>
        <v>0</v>
      </c>
      <c r="CN632" s="1901"/>
      <c r="CO632" s="1901"/>
      <c r="CP632" s="1901"/>
      <c r="CQ632" s="1901"/>
      <c r="CR632" s="265"/>
      <c r="CS632" s="2219">
        <f t="shared" si="10"/>
        <v>0</v>
      </c>
      <c r="CT632" s="2219"/>
      <c r="CU632" s="2219"/>
      <c r="CV632" s="2219"/>
      <c r="CW632" s="2219"/>
      <c r="CX632" s="2219">
        <f t="shared" si="11"/>
        <v>0</v>
      </c>
      <c r="CY632" s="2219"/>
      <c r="CZ632" s="2219"/>
      <c r="DA632" s="2219"/>
      <c r="DB632" s="2219"/>
      <c r="DC632" s="2219">
        <f t="shared" si="12"/>
        <v>0</v>
      </c>
      <c r="DD632" s="2219"/>
      <c r="DE632" s="2219"/>
      <c r="DF632" s="2219"/>
      <c r="DG632" s="2219"/>
      <c r="DH632" s="2219">
        <f t="shared" si="13"/>
        <v>0</v>
      </c>
      <c r="DI632" s="2219"/>
      <c r="DJ632" s="2219"/>
      <c r="DK632" s="2219"/>
      <c r="DL632" s="2219"/>
      <c r="DM632" s="2219">
        <f t="shared" si="14"/>
        <v>0</v>
      </c>
      <c r="DN632" s="2219"/>
      <c r="DO632" s="2219"/>
      <c r="DP632" s="2219"/>
      <c r="DQ632" s="2219"/>
      <c r="DR632" s="2219">
        <f t="shared" si="15"/>
        <v>0</v>
      </c>
      <c r="DS632" s="2219"/>
      <c r="DT632" s="2219"/>
      <c r="DU632" s="2219"/>
      <c r="DV632" s="2219"/>
      <c r="DX632" s="1917" t="str">
        <f t="shared" si="16"/>
        <v xml:space="preserve"> </v>
      </c>
      <c r="DY632" s="1918"/>
      <c r="DZ632" s="1918"/>
      <c r="EA632" s="1918"/>
      <c r="EB632" s="1919"/>
      <c r="EC632" s="1917" t="str">
        <f t="shared" si="17"/>
        <v xml:space="preserve"> </v>
      </c>
      <c r="ED632" s="1918"/>
      <c r="EE632" s="1918"/>
      <c r="EF632" s="1918"/>
      <c r="EG632" s="1919"/>
      <c r="EH632" s="1917" t="str">
        <f t="shared" si="18"/>
        <v xml:space="preserve"> </v>
      </c>
      <c r="EI632" s="1918"/>
      <c r="EJ632" s="1918"/>
      <c r="EK632" s="1918"/>
      <c r="EL632" s="1919"/>
      <c r="EM632" s="1917" t="str">
        <f t="shared" si="19"/>
        <v xml:space="preserve"> </v>
      </c>
      <c r="EN632" s="1918"/>
      <c r="EO632" s="1918"/>
      <c r="EP632" s="1918"/>
      <c r="EQ632" s="1919"/>
      <c r="ER632" s="1917" t="str">
        <f t="shared" si="20"/>
        <v xml:space="preserve"> </v>
      </c>
      <c r="ES632" s="1918"/>
      <c r="ET632" s="1918"/>
      <c r="EU632" s="1918"/>
      <c r="EV632" s="1919"/>
      <c r="EW632" s="1917" t="str">
        <f t="shared" si="21"/>
        <v xml:space="preserve"> </v>
      </c>
      <c r="EX632" s="1918"/>
      <c r="EY632" s="1918"/>
      <c r="EZ632" s="1918"/>
      <c r="FA632" s="1919"/>
    </row>
    <row r="633" spans="1:157" ht="12.75">
      <c r="B633" s="837"/>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17">
        <f t="shared" si="0"/>
        <v>0</v>
      </c>
      <c r="BF633" s="1919"/>
      <c r="BG633" s="1902">
        <f t="shared" si="1"/>
        <v>0</v>
      </c>
      <c r="BH633" s="1904"/>
      <c r="BI633" s="1917">
        <f t="shared" si="2"/>
        <v>0</v>
      </c>
      <c r="BJ633" s="1919"/>
      <c r="BK633" s="1902">
        <f t="shared" si="3"/>
        <v>0</v>
      </c>
      <c r="BL633" s="1904"/>
      <c r="BM633" s="58"/>
      <c r="BN633" s="1902">
        <f t="shared" si="4"/>
        <v>0</v>
      </c>
      <c r="BO633" s="1903"/>
      <c r="BP633" s="1903"/>
      <c r="BQ633" s="1903"/>
      <c r="BR633" s="1904"/>
      <c r="BS633" s="1901">
        <f t="shared" si="5"/>
        <v>0</v>
      </c>
      <c r="BT633" s="1901"/>
      <c r="BU633" s="1901"/>
      <c r="BV633" s="1901"/>
      <c r="BW633" s="1901"/>
      <c r="BX633" s="1901">
        <f t="shared" si="6"/>
        <v>0</v>
      </c>
      <c r="BY633" s="1901"/>
      <c r="BZ633" s="1901"/>
      <c r="CA633" s="1901"/>
      <c r="CB633" s="1901"/>
      <c r="CC633" s="1901">
        <f t="shared" si="7"/>
        <v>0</v>
      </c>
      <c r="CD633" s="1901"/>
      <c r="CE633" s="1901"/>
      <c r="CF633" s="1901"/>
      <c r="CG633" s="1901"/>
      <c r="CH633" s="1901">
        <f t="shared" si="8"/>
        <v>0</v>
      </c>
      <c r="CI633" s="1901"/>
      <c r="CJ633" s="1901"/>
      <c r="CK633" s="1901"/>
      <c r="CL633" s="1901"/>
      <c r="CM633" s="1901">
        <f t="shared" si="9"/>
        <v>0</v>
      </c>
      <c r="CN633" s="1901"/>
      <c r="CO633" s="1901"/>
      <c r="CP633" s="1901"/>
      <c r="CQ633" s="1901"/>
      <c r="CR633" s="265"/>
      <c r="CS633" s="2219">
        <f t="shared" si="10"/>
        <v>0</v>
      </c>
      <c r="CT633" s="2219"/>
      <c r="CU633" s="2219"/>
      <c r="CV633" s="2219"/>
      <c r="CW633" s="2219"/>
      <c r="CX633" s="2219">
        <f t="shared" si="11"/>
        <v>0</v>
      </c>
      <c r="CY633" s="2219"/>
      <c r="CZ633" s="2219"/>
      <c r="DA633" s="2219"/>
      <c r="DB633" s="2219"/>
      <c r="DC633" s="2219">
        <f t="shared" si="12"/>
        <v>0</v>
      </c>
      <c r="DD633" s="2219"/>
      <c r="DE633" s="2219"/>
      <c r="DF633" s="2219"/>
      <c r="DG633" s="2219"/>
      <c r="DH633" s="2219">
        <f t="shared" si="13"/>
        <v>0</v>
      </c>
      <c r="DI633" s="2219"/>
      <c r="DJ633" s="2219"/>
      <c r="DK633" s="2219"/>
      <c r="DL633" s="2219"/>
      <c r="DM633" s="2219">
        <f t="shared" si="14"/>
        <v>0</v>
      </c>
      <c r="DN633" s="2219"/>
      <c r="DO633" s="2219"/>
      <c r="DP633" s="2219"/>
      <c r="DQ633" s="2219"/>
      <c r="DR633" s="2219">
        <f t="shared" si="15"/>
        <v>0</v>
      </c>
      <c r="DS633" s="2219"/>
      <c r="DT633" s="2219"/>
      <c r="DU633" s="2219"/>
      <c r="DV633" s="2219"/>
      <c r="DX633" s="1917" t="str">
        <f t="shared" si="16"/>
        <v xml:space="preserve"> </v>
      </c>
      <c r="DY633" s="1918"/>
      <c r="DZ633" s="1918"/>
      <c r="EA633" s="1918"/>
      <c r="EB633" s="1919"/>
      <c r="EC633" s="1917" t="str">
        <f t="shared" si="17"/>
        <v xml:space="preserve"> </v>
      </c>
      <c r="ED633" s="1918"/>
      <c r="EE633" s="1918"/>
      <c r="EF633" s="1918"/>
      <c r="EG633" s="1919"/>
      <c r="EH633" s="1917" t="str">
        <f t="shared" si="18"/>
        <v xml:space="preserve"> </v>
      </c>
      <c r="EI633" s="1918"/>
      <c r="EJ633" s="1918"/>
      <c r="EK633" s="1918"/>
      <c r="EL633" s="1919"/>
      <c r="EM633" s="1917" t="str">
        <f t="shared" si="19"/>
        <v xml:space="preserve"> </v>
      </c>
      <c r="EN633" s="1918"/>
      <c r="EO633" s="1918"/>
      <c r="EP633" s="1918"/>
      <c r="EQ633" s="1919"/>
      <c r="ER633" s="1917" t="str">
        <f t="shared" si="20"/>
        <v xml:space="preserve"> </v>
      </c>
      <c r="ES633" s="1918"/>
      <c r="ET633" s="1918"/>
      <c r="EU633" s="1918"/>
      <c r="EV633" s="1919"/>
      <c r="EW633" s="1917" t="str">
        <f t="shared" si="21"/>
        <v xml:space="preserve"> </v>
      </c>
      <c r="EX633" s="1918"/>
      <c r="EY633" s="1918"/>
      <c r="EZ633" s="1918"/>
      <c r="FA633" s="1919"/>
    </row>
    <row r="634" spans="1:157" s="1682" customFormat="1" ht="12.75" customHeight="1">
      <c r="B634" s="1951" t="s">
        <v>486</v>
      </c>
      <c r="C634" s="1952"/>
      <c r="D634" s="1952"/>
      <c r="E634" s="1952"/>
      <c r="F634" s="1952"/>
      <c r="G634" s="1952"/>
      <c r="H634" s="1952"/>
      <c r="I634" s="1952"/>
      <c r="J634" s="1952"/>
      <c r="K634" s="1952"/>
      <c r="L634" s="1952"/>
      <c r="M634" s="1952"/>
      <c r="N634" s="1953"/>
      <c r="O634" s="1942" t="s">
        <v>2450</v>
      </c>
      <c r="P634" s="1943"/>
      <c r="Q634" s="1944"/>
      <c r="R634" s="1942" t="s">
        <v>2448</v>
      </c>
      <c r="S634" s="1943"/>
      <c r="T634" s="1944"/>
      <c r="U634" s="2241" t="s">
        <v>487</v>
      </c>
      <c r="V634" s="2241"/>
      <c r="W634" s="2242"/>
      <c r="X634" s="1942" t="s">
        <v>2171</v>
      </c>
      <c r="Y634" s="1943"/>
      <c r="Z634" s="1943"/>
      <c r="AA634" s="1943"/>
      <c r="AB634" s="1944"/>
      <c r="AC634" s="2232" t="s">
        <v>2169</v>
      </c>
      <c r="AD634" s="2233"/>
      <c r="AE634" s="2234"/>
      <c r="AF634" s="1942" t="s">
        <v>2172</v>
      </c>
      <c r="AG634" s="1943"/>
      <c r="AH634" s="1943"/>
      <c r="AI634" s="1943"/>
      <c r="AJ634" s="1944"/>
      <c r="AK634" s="2247" t="s">
        <v>2173</v>
      </c>
      <c r="AL634" s="2248"/>
      <c r="AM634" s="2248"/>
      <c r="AN634" s="2249"/>
      <c r="AO634" s="2396" t="s">
        <v>488</v>
      </c>
      <c r="AP634" s="2396"/>
      <c r="AQ634" s="2396"/>
      <c r="AR634" s="2396"/>
      <c r="AS634" s="2396"/>
      <c r="AT634" s="1683"/>
      <c r="AU634" s="1683"/>
      <c r="AV634" s="1683"/>
      <c r="AW634" s="1683"/>
      <c r="AX634" s="1683"/>
      <c r="AY634" s="1683"/>
      <c r="AZ634" s="181"/>
      <c r="BA634" s="181"/>
      <c r="BB634" s="181"/>
      <c r="BC634" s="181"/>
      <c r="BD634" s="181"/>
      <c r="BE634" s="1917">
        <f t="shared" si="0"/>
        <v>0</v>
      </c>
      <c r="BF634" s="1919"/>
      <c r="BG634" s="1902">
        <f t="shared" si="1"/>
        <v>0</v>
      </c>
      <c r="BH634" s="1904"/>
      <c r="BI634" s="1917">
        <f t="shared" si="2"/>
        <v>0</v>
      </c>
      <c r="BJ634" s="1919"/>
      <c r="BK634" s="1902">
        <f t="shared" si="3"/>
        <v>0</v>
      </c>
      <c r="BL634" s="1904"/>
      <c r="BM634" s="181"/>
      <c r="BN634" s="1902">
        <f t="shared" si="4"/>
        <v>0</v>
      </c>
      <c r="BO634" s="1903"/>
      <c r="BP634" s="1903"/>
      <c r="BQ634" s="1903"/>
      <c r="BR634" s="1904"/>
      <c r="BS634" s="1901">
        <f t="shared" si="5"/>
        <v>0</v>
      </c>
      <c r="BT634" s="1901"/>
      <c r="BU634" s="1901"/>
      <c r="BV634" s="1901"/>
      <c r="BW634" s="1901"/>
      <c r="BX634" s="1901">
        <f t="shared" si="6"/>
        <v>0</v>
      </c>
      <c r="BY634" s="1901"/>
      <c r="BZ634" s="1901"/>
      <c r="CA634" s="1901"/>
      <c r="CB634" s="1901"/>
      <c r="CC634" s="1901">
        <f t="shared" si="7"/>
        <v>0</v>
      </c>
      <c r="CD634" s="1901"/>
      <c r="CE634" s="1901"/>
      <c r="CF634" s="1901"/>
      <c r="CG634" s="1901"/>
      <c r="CH634" s="1901">
        <f t="shared" si="8"/>
        <v>0</v>
      </c>
      <c r="CI634" s="1901"/>
      <c r="CJ634" s="1901"/>
      <c r="CK634" s="1901"/>
      <c r="CL634" s="1901"/>
      <c r="CM634" s="1901">
        <f t="shared" si="9"/>
        <v>0</v>
      </c>
      <c r="CN634" s="1901"/>
      <c r="CO634" s="1901"/>
      <c r="CP634" s="1901"/>
      <c r="CQ634" s="1901"/>
      <c r="CR634" s="265"/>
      <c r="CS634" s="2219">
        <f t="shared" si="10"/>
        <v>0</v>
      </c>
      <c r="CT634" s="2219"/>
      <c r="CU634" s="2219"/>
      <c r="CV634" s="2219"/>
      <c r="CW634" s="2219"/>
      <c r="CX634" s="2219">
        <f t="shared" si="11"/>
        <v>0</v>
      </c>
      <c r="CY634" s="2219"/>
      <c r="CZ634" s="2219"/>
      <c r="DA634" s="2219"/>
      <c r="DB634" s="2219"/>
      <c r="DC634" s="2219">
        <f t="shared" si="12"/>
        <v>0</v>
      </c>
      <c r="DD634" s="2219"/>
      <c r="DE634" s="2219"/>
      <c r="DF634" s="2219"/>
      <c r="DG634" s="2219"/>
      <c r="DH634" s="2219">
        <f t="shared" si="13"/>
        <v>0</v>
      </c>
      <c r="DI634" s="2219"/>
      <c r="DJ634" s="2219"/>
      <c r="DK634" s="2219"/>
      <c r="DL634" s="2219"/>
      <c r="DM634" s="2219">
        <f t="shared" si="14"/>
        <v>0</v>
      </c>
      <c r="DN634" s="2219"/>
      <c r="DO634" s="2219"/>
      <c r="DP634" s="2219"/>
      <c r="DQ634" s="2219"/>
      <c r="DR634" s="2219">
        <f t="shared" si="15"/>
        <v>0</v>
      </c>
      <c r="DS634" s="2219"/>
      <c r="DT634" s="2219"/>
      <c r="DU634" s="2219"/>
      <c r="DV634" s="2219"/>
      <c r="DX634" s="1917" t="str">
        <f t="shared" si="16"/>
        <v xml:space="preserve"> </v>
      </c>
      <c r="DY634" s="1918"/>
      <c r="DZ634" s="1918"/>
      <c r="EA634" s="1918"/>
      <c r="EB634" s="1919"/>
      <c r="EC634" s="1917" t="str">
        <f t="shared" si="17"/>
        <v xml:space="preserve"> </v>
      </c>
      <c r="ED634" s="1918"/>
      <c r="EE634" s="1918"/>
      <c r="EF634" s="1918"/>
      <c r="EG634" s="1919"/>
      <c r="EH634" s="1917" t="str">
        <f t="shared" si="18"/>
        <v xml:space="preserve"> </v>
      </c>
      <c r="EI634" s="1918"/>
      <c r="EJ634" s="1918"/>
      <c r="EK634" s="1918"/>
      <c r="EL634" s="1919"/>
      <c r="EM634" s="1917" t="str">
        <f t="shared" si="19"/>
        <v xml:space="preserve"> </v>
      </c>
      <c r="EN634" s="1918"/>
      <c r="EO634" s="1918"/>
      <c r="EP634" s="1918"/>
      <c r="EQ634" s="1919"/>
      <c r="ER634" s="1917" t="str">
        <f t="shared" si="20"/>
        <v xml:space="preserve"> </v>
      </c>
      <c r="ES634" s="1918"/>
      <c r="ET634" s="1918"/>
      <c r="EU634" s="1918"/>
      <c r="EV634" s="1919"/>
      <c r="EW634" s="1917" t="str">
        <f t="shared" si="21"/>
        <v xml:space="preserve"> </v>
      </c>
      <c r="EX634" s="1918"/>
      <c r="EY634" s="1918"/>
      <c r="EZ634" s="1918"/>
      <c r="FA634" s="1919"/>
    </row>
    <row r="635" spans="1:157" s="1682" customFormat="1" ht="12.75">
      <c r="B635" s="1954"/>
      <c r="C635" s="1955"/>
      <c r="D635" s="1955"/>
      <c r="E635" s="1955"/>
      <c r="F635" s="1955"/>
      <c r="G635" s="1955"/>
      <c r="H635" s="1955"/>
      <c r="I635" s="1955"/>
      <c r="J635" s="1955"/>
      <c r="K635" s="1955"/>
      <c r="L635" s="1955"/>
      <c r="M635" s="1955"/>
      <c r="N635" s="1956"/>
      <c r="O635" s="1945"/>
      <c r="P635" s="1946"/>
      <c r="Q635" s="1947"/>
      <c r="R635" s="1945"/>
      <c r="S635" s="1946"/>
      <c r="T635" s="1947"/>
      <c r="U635" s="2243"/>
      <c r="V635" s="2243"/>
      <c r="W635" s="2244"/>
      <c r="X635" s="1945"/>
      <c r="Y635" s="1946"/>
      <c r="Z635" s="1946"/>
      <c r="AA635" s="1946"/>
      <c r="AB635" s="1947"/>
      <c r="AC635" s="2235"/>
      <c r="AD635" s="2236"/>
      <c r="AE635" s="2237"/>
      <c r="AF635" s="1945"/>
      <c r="AG635" s="1946"/>
      <c r="AH635" s="1946"/>
      <c r="AI635" s="1946"/>
      <c r="AJ635" s="1947"/>
      <c r="AK635" s="2250"/>
      <c r="AL635" s="2251"/>
      <c r="AM635" s="2251"/>
      <c r="AN635" s="2252"/>
      <c r="AO635" s="2396"/>
      <c r="AP635" s="2396"/>
      <c r="AQ635" s="2396"/>
      <c r="AR635" s="2396"/>
      <c r="AS635" s="2396"/>
      <c r="AT635" s="1683"/>
      <c r="AU635" s="1683"/>
      <c r="AV635" s="1683"/>
      <c r="AW635" s="1683"/>
      <c r="AX635" s="1683"/>
      <c r="AY635" s="1683"/>
      <c r="AZ635" s="181"/>
      <c r="BA635" s="181"/>
      <c r="BB635" s="181"/>
      <c r="BC635" s="181"/>
      <c r="BD635" s="181"/>
      <c r="BE635" s="181"/>
      <c r="BF635" s="181"/>
      <c r="BG635" s="1917">
        <f>SUM(BG610:BH634)</f>
        <v>24</v>
      </c>
      <c r="BH635" s="1919"/>
      <c r="BI635" s="181"/>
      <c r="BJ635" s="181"/>
      <c r="BK635" s="1917">
        <f>SUM(BK610:BL634)</f>
        <v>7</v>
      </c>
      <c r="BL635" s="1919"/>
      <c r="BM635" s="181"/>
      <c r="BN635" s="1917">
        <f>SUM(BN610:BR634)</f>
        <v>0</v>
      </c>
      <c r="BO635" s="1918"/>
      <c r="BP635" s="1918"/>
      <c r="BQ635" s="1918"/>
      <c r="BR635" s="1919"/>
      <c r="BS635" s="1896">
        <f>SUM(BS610:BW634)</f>
        <v>4</v>
      </c>
      <c r="BT635" s="1896"/>
      <c r="BU635" s="1896"/>
      <c r="BV635" s="1896"/>
      <c r="BW635" s="1896"/>
      <c r="BX635" s="1896">
        <f>SUM(BX610:CB634)</f>
        <v>30</v>
      </c>
      <c r="BY635" s="1896"/>
      <c r="BZ635" s="1896"/>
      <c r="CA635" s="1896"/>
      <c r="CB635" s="1896"/>
      <c r="CC635" s="1896">
        <f>SUM(CC610:CG634)</f>
        <v>31</v>
      </c>
      <c r="CD635" s="1896"/>
      <c r="CE635" s="1896"/>
      <c r="CF635" s="1896"/>
      <c r="CG635" s="1896"/>
      <c r="CH635" s="1896">
        <f>SUM(CH610:CL634)</f>
        <v>0</v>
      </c>
      <c r="CI635" s="1896"/>
      <c r="CJ635" s="1896"/>
      <c r="CK635" s="1896"/>
      <c r="CL635" s="1896"/>
      <c r="CM635" s="1896">
        <f>SUM(CM610:CQ634)</f>
        <v>0</v>
      </c>
      <c r="CN635" s="1896"/>
      <c r="CO635" s="1896"/>
      <c r="CP635" s="1896"/>
      <c r="CQ635" s="1896"/>
      <c r="CR635" s="698"/>
      <c r="CS635" s="1896">
        <f>SUM(CS610:CW634)</f>
        <v>0</v>
      </c>
      <c r="CT635" s="1896"/>
      <c r="CU635" s="1896"/>
      <c r="CV635" s="1896"/>
      <c r="CW635" s="1896"/>
      <c r="CX635" s="1896">
        <f>SUM(CX610:DB634)</f>
        <v>1</v>
      </c>
      <c r="CY635" s="1896"/>
      <c r="CZ635" s="1896"/>
      <c r="DA635" s="1896"/>
      <c r="DB635" s="1896"/>
      <c r="DC635" s="1896">
        <f>SUM(DC610:DG634)</f>
        <v>3</v>
      </c>
      <c r="DD635" s="1896"/>
      <c r="DE635" s="1896"/>
      <c r="DF635" s="1896"/>
      <c r="DG635" s="1896"/>
      <c r="DH635" s="1896">
        <f>SUM(DH610:DL634)</f>
        <v>3</v>
      </c>
      <c r="DI635" s="1896"/>
      <c r="DJ635" s="1896"/>
      <c r="DK635" s="1896"/>
      <c r="DL635" s="1896"/>
      <c r="DM635" s="1896">
        <f>SUM(DM610:DQ634)</f>
        <v>0</v>
      </c>
      <c r="DN635" s="1896"/>
      <c r="DO635" s="1896"/>
      <c r="DP635" s="1896"/>
      <c r="DQ635" s="1896"/>
      <c r="DR635" s="1896">
        <f>SUM(DR610:DV634)</f>
        <v>0</v>
      </c>
      <c r="DS635" s="1896"/>
      <c r="DT635" s="1896"/>
      <c r="DU635" s="1896"/>
      <c r="DV635" s="1896"/>
      <c r="DX635" s="1896">
        <f>SUM(DX610:EB634)</f>
        <v>0</v>
      </c>
      <c r="DY635" s="1896"/>
      <c r="DZ635" s="1896"/>
      <c r="EA635" s="1896"/>
      <c r="EB635" s="1896"/>
      <c r="EC635" s="1896">
        <f>SUM(EC610:EG634)</f>
        <v>2173</v>
      </c>
      <c r="ED635" s="1896"/>
      <c r="EE635" s="1896"/>
      <c r="EF635" s="1896"/>
      <c r="EG635" s="1896"/>
      <c r="EH635" s="1896">
        <f>SUM(EH610:EL634)</f>
        <v>4104</v>
      </c>
      <c r="EI635" s="1896"/>
      <c r="EJ635" s="1896"/>
      <c r="EK635" s="1896"/>
      <c r="EL635" s="1896"/>
      <c r="EM635" s="1896">
        <f>SUM(EM610:EQ634)</f>
        <v>4572</v>
      </c>
      <c r="EN635" s="1896"/>
      <c r="EO635" s="1896"/>
      <c r="EP635" s="1896"/>
      <c r="EQ635" s="1896"/>
      <c r="ER635" s="1896">
        <f>SUM(ER610:EV634)</f>
        <v>0</v>
      </c>
      <c r="ES635" s="1896"/>
      <c r="ET635" s="1896"/>
      <c r="EU635" s="1896"/>
      <c r="EV635" s="1896"/>
      <c r="EW635" s="1896">
        <f>SUM(EW610:FA634)</f>
        <v>0</v>
      </c>
      <c r="EX635" s="1896"/>
      <c r="EY635" s="1896"/>
      <c r="EZ635" s="1896"/>
      <c r="FA635" s="1896"/>
    </row>
    <row r="636" spans="1:157" s="1682" customFormat="1" ht="12.75">
      <c r="B636" s="1957"/>
      <c r="C636" s="1955"/>
      <c r="D636" s="1955"/>
      <c r="E636" s="1955"/>
      <c r="F636" s="1955"/>
      <c r="G636" s="1955"/>
      <c r="H636" s="1955"/>
      <c r="I636" s="1955"/>
      <c r="J636" s="1955"/>
      <c r="K636" s="1955"/>
      <c r="L636" s="1955"/>
      <c r="M636" s="1955"/>
      <c r="N636" s="1956"/>
      <c r="O636" s="1948"/>
      <c r="P636" s="1949"/>
      <c r="Q636" s="1950"/>
      <c r="R636" s="1948"/>
      <c r="S636" s="1949"/>
      <c r="T636" s="1950"/>
      <c r="U636" s="2245"/>
      <c r="V636" s="2245"/>
      <c r="W636" s="2246"/>
      <c r="X636" s="1948"/>
      <c r="Y636" s="1949"/>
      <c r="Z636" s="1949"/>
      <c r="AA636" s="1949"/>
      <c r="AB636" s="1950"/>
      <c r="AC636" s="2238"/>
      <c r="AD636" s="2239"/>
      <c r="AE636" s="2240"/>
      <c r="AF636" s="1948"/>
      <c r="AG636" s="1949"/>
      <c r="AH636" s="1949"/>
      <c r="AI636" s="1949"/>
      <c r="AJ636" s="1950"/>
      <c r="AK636" s="2253"/>
      <c r="AL636" s="2254"/>
      <c r="AM636" s="2254"/>
      <c r="AN636" s="2255"/>
      <c r="AO636" s="2396"/>
      <c r="AP636" s="2396"/>
      <c r="AQ636" s="2396"/>
      <c r="AR636" s="2396"/>
      <c r="AS636" s="2396"/>
      <c r="AT636" s="827"/>
      <c r="AU636" s="827"/>
      <c r="AV636" s="827"/>
      <c r="AW636" s="827"/>
      <c r="AX636" s="827"/>
      <c r="AY636" s="82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2474</v>
      </c>
      <c r="CM636" s="1917">
        <f>BN635+BS635+BX635+CC635+CH635+CM635</f>
        <v>65</v>
      </c>
      <c r="CN636" s="1918"/>
      <c r="CO636" s="1918"/>
      <c r="CP636" s="1918"/>
      <c r="CQ636" s="1919"/>
      <c r="CR636" s="698"/>
      <c r="CS636" s="181"/>
      <c r="CT636" s="181"/>
      <c r="CU636" s="181"/>
      <c r="CV636" s="181"/>
      <c r="CW636" s="181"/>
      <c r="CX636" s="181"/>
      <c r="CY636" s="181"/>
      <c r="CZ636" s="181"/>
      <c r="DA636" s="181"/>
      <c r="DB636" s="181"/>
      <c r="DC636" s="181"/>
      <c r="DD636" s="181"/>
      <c r="DE636" s="181"/>
      <c r="DF636" s="181"/>
    </row>
    <row r="637" spans="1:157" ht="12.75">
      <c r="B637" s="83" t="s">
        <v>117</v>
      </c>
      <c r="C637" s="1932" t="s">
        <v>2563</v>
      </c>
      <c r="D637" s="1958"/>
      <c r="E637" s="1958"/>
      <c r="F637" s="1958"/>
      <c r="G637" s="1958"/>
      <c r="H637" s="1958"/>
      <c r="I637" s="1958"/>
      <c r="J637" s="1958"/>
      <c r="K637" s="1958"/>
      <c r="L637" s="1958"/>
      <c r="M637" s="1958"/>
      <c r="N637" s="1959"/>
      <c r="O637" s="1926">
        <v>480</v>
      </c>
      <c r="P637" s="1927"/>
      <c r="Q637" s="1928"/>
      <c r="R637" s="1926">
        <v>480</v>
      </c>
      <c r="S637" s="1927"/>
      <c r="T637" s="1928"/>
      <c r="U637" s="1939">
        <f>'[9]main spreadsheet'!$BT$6</f>
        <v>4.2500000000000003E-2</v>
      </c>
      <c r="V637" s="1940"/>
      <c r="W637" s="1941"/>
      <c r="X637" s="1936" t="s">
        <v>2170</v>
      </c>
      <c r="Y637" s="1937"/>
      <c r="Z637" s="1937"/>
      <c r="AA637" s="1937"/>
      <c r="AB637" s="1938"/>
      <c r="AC637" s="2158">
        <v>1</v>
      </c>
      <c r="AD637" s="2159"/>
      <c r="AE637" s="2160"/>
      <c r="AF637" s="2112">
        <f>'[9]main spreadsheet'!$J$44</f>
        <v>527982.89331448637</v>
      </c>
      <c r="AG637" s="2113"/>
      <c r="AH637" s="2113"/>
      <c r="AI637" s="2113"/>
      <c r="AJ637" s="2114"/>
      <c r="AK637" s="2177"/>
      <c r="AL637" s="2178"/>
      <c r="AM637" s="2178"/>
      <c r="AN637" s="2179"/>
      <c r="AO637" s="2168">
        <f>'[9]main spreadsheet'!$BO$6</f>
        <v>10146800</v>
      </c>
      <c r="AP637" s="2168"/>
      <c r="AQ637" s="2168"/>
      <c r="AR637" s="2168"/>
      <c r="AS637" s="2168"/>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391">
        <f>BN635*1</f>
        <v>0</v>
      </c>
      <c r="BS637" s="58"/>
      <c r="BT637" s="58"/>
      <c r="BU637" s="58"/>
      <c r="BV637" s="58"/>
      <c r="BW637" s="1391">
        <f>BS635*1</f>
        <v>4</v>
      </c>
      <c r="BX637" s="58"/>
      <c r="BY637" s="58"/>
      <c r="BZ637" s="58"/>
      <c r="CA637" s="58"/>
      <c r="CB637" s="1391">
        <f>BX635*2</f>
        <v>60</v>
      </c>
      <c r="CC637" s="58"/>
      <c r="CD637" s="58"/>
      <c r="CE637" s="58"/>
      <c r="CF637" s="58"/>
      <c r="CG637" s="1391">
        <f>CC635*3</f>
        <v>93</v>
      </c>
      <c r="CH637" s="58"/>
      <c r="CI637" s="58"/>
      <c r="CJ637" s="58"/>
      <c r="CK637" s="58"/>
      <c r="CL637" s="1391">
        <f>CH635*4</f>
        <v>0</v>
      </c>
      <c r="CM637" s="58"/>
      <c r="CN637" s="58"/>
      <c r="CO637" s="58"/>
      <c r="CP637" s="58"/>
      <c r="CQ637" s="1391">
        <f>CM635*5</f>
        <v>0</v>
      </c>
      <c r="CS637" s="1391">
        <f>BR637+BW637+CB637+CG637+CL637+CQ637</f>
        <v>157</v>
      </c>
      <c r="CT637" s="134" t="s">
        <v>2477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1932" t="s">
        <v>2548</v>
      </c>
      <c r="D638" s="1958"/>
      <c r="E638" s="1958"/>
      <c r="F638" s="1958"/>
      <c r="G638" s="1958"/>
      <c r="H638" s="1958"/>
      <c r="I638" s="1958"/>
      <c r="J638" s="1958"/>
      <c r="K638" s="1958"/>
      <c r="L638" s="1958"/>
      <c r="M638" s="1958"/>
      <c r="N638" s="1959"/>
      <c r="O638" s="1926">
        <v>660</v>
      </c>
      <c r="P638" s="1927"/>
      <c r="Q638" s="1928"/>
      <c r="R638" s="1926" t="s">
        <v>2559</v>
      </c>
      <c r="S638" s="1927"/>
      <c r="T638" s="1928"/>
      <c r="U638" s="1939">
        <v>0.03</v>
      </c>
      <c r="V638" s="1940"/>
      <c r="W638" s="1941"/>
      <c r="X638" s="1936" t="s">
        <v>492</v>
      </c>
      <c r="Y638" s="1937"/>
      <c r="Z638" s="1937"/>
      <c r="AA638" s="1937"/>
      <c r="AB638" s="1938"/>
      <c r="AC638" s="2158">
        <v>2</v>
      </c>
      <c r="AD638" s="2159"/>
      <c r="AE638" s="2160"/>
      <c r="AF638" s="2112"/>
      <c r="AG638" s="2113"/>
      <c r="AH638" s="2113"/>
      <c r="AI638" s="2113"/>
      <c r="AJ638" s="2114"/>
      <c r="AK638" s="2177"/>
      <c r="AL638" s="2178"/>
      <c r="AM638" s="2178"/>
      <c r="AN638" s="2179"/>
      <c r="AO638" s="2168">
        <f>AM566</f>
        <v>5477743</v>
      </c>
      <c r="AP638" s="2168"/>
      <c r="AQ638" s="2168"/>
      <c r="AR638" s="2168"/>
      <c r="AS638" s="2168"/>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U638" s="58"/>
      <c r="CV638" s="58"/>
      <c r="CW638" s="58"/>
      <c r="CX638" s="58"/>
      <c r="CY638" s="58"/>
      <c r="CZ638" s="58"/>
      <c r="DA638" s="58"/>
      <c r="DB638" s="58"/>
      <c r="DC638" s="58"/>
      <c r="DD638" s="58"/>
      <c r="DE638" s="58"/>
      <c r="DF638" s="58"/>
      <c r="DX638" s="1897" t="e">
        <f t="shared" ref="DX638:DX662" si="22">DX610*(BN610/$BN$635)</f>
        <v>#VALUE!</v>
      </c>
      <c r="DY638" s="1897"/>
      <c r="DZ638" s="1897"/>
      <c r="EA638" s="1897"/>
      <c r="EB638" s="1897"/>
      <c r="EC638" s="1897">
        <f t="shared" ref="EC638:EC662" si="23">EC610*(BS610/$BS$635)</f>
        <v>105.25</v>
      </c>
      <c r="ED638" s="1897"/>
      <c r="EE638" s="1897"/>
      <c r="EF638" s="1897"/>
      <c r="EG638" s="1897"/>
      <c r="EH638" s="1897" t="e">
        <f t="shared" ref="EH638:EH662" si="24">EH610*(BX610/$BX$635)</f>
        <v>#VALUE!</v>
      </c>
      <c r="EI638" s="1897"/>
      <c r="EJ638" s="1897"/>
      <c r="EK638" s="1897"/>
      <c r="EL638" s="1897"/>
      <c r="EM638" s="1897" t="e">
        <f t="shared" ref="EM638:EM662" si="25">EM610*(CC610/$CC$635)</f>
        <v>#VALUE!</v>
      </c>
      <c r="EN638" s="1897"/>
      <c r="EO638" s="1897"/>
      <c r="EP638" s="1897"/>
      <c r="EQ638" s="1897"/>
      <c r="ER638" s="1897" t="e">
        <f t="shared" ref="ER638:ER662" si="26">ER610*(CH610/$CH$635)</f>
        <v>#VALUE!</v>
      </c>
      <c r="ES638" s="1897"/>
      <c r="ET638" s="1897"/>
      <c r="EU638" s="1897"/>
      <c r="EV638" s="1897"/>
      <c r="EW638" s="1897" t="e">
        <f t="shared" ref="EW638:EW662" si="27">EW610*(CM610/$CM$635)</f>
        <v>#VALUE!</v>
      </c>
      <c r="EX638" s="1897"/>
      <c r="EY638" s="1897"/>
      <c r="EZ638" s="1897"/>
      <c r="FA638" s="1897"/>
    </row>
    <row r="639" spans="1:157" ht="12.75" customHeight="1">
      <c r="B639" s="84" t="s">
        <v>124</v>
      </c>
      <c r="C639" s="1932" t="s">
        <v>2552</v>
      </c>
      <c r="D639" s="1958"/>
      <c r="E639" s="1958"/>
      <c r="F639" s="1958"/>
      <c r="G639" s="1958"/>
      <c r="H639" s="1958"/>
      <c r="I639" s="1958"/>
      <c r="J639" s="1958"/>
      <c r="K639" s="1958"/>
      <c r="L639" s="1958"/>
      <c r="M639" s="1958"/>
      <c r="N639" s="1959"/>
      <c r="O639" s="1926">
        <v>660</v>
      </c>
      <c r="P639" s="1927"/>
      <c r="Q639" s="1928"/>
      <c r="R639" s="1926" t="s">
        <v>2559</v>
      </c>
      <c r="S639" s="1927"/>
      <c r="T639" s="1928"/>
      <c r="U639" s="1939" t="s">
        <v>2564</v>
      </c>
      <c r="V639" s="1940"/>
      <c r="W639" s="1941"/>
      <c r="X639" s="1936" t="s">
        <v>492</v>
      </c>
      <c r="Y639" s="1937"/>
      <c r="Z639" s="1937"/>
      <c r="AA639" s="1937"/>
      <c r="AB639" s="1938"/>
      <c r="AC639" s="2158">
        <v>3</v>
      </c>
      <c r="AD639" s="2159"/>
      <c r="AE639" s="2160"/>
      <c r="AF639" s="2112"/>
      <c r="AG639" s="2113"/>
      <c r="AH639" s="2113"/>
      <c r="AI639" s="2113"/>
      <c r="AJ639" s="2114"/>
      <c r="AK639" s="2177"/>
      <c r="AL639" s="2178"/>
      <c r="AM639" s="2178"/>
      <c r="AN639" s="2179"/>
      <c r="AO639" s="2168">
        <f>AM567</f>
        <v>4964384</v>
      </c>
      <c r="AP639" s="2168"/>
      <c r="AQ639" s="2168"/>
      <c r="AR639" s="2168"/>
      <c r="AS639" s="2168"/>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177"/>
      <c r="CS639" s="58"/>
      <c r="CT639" s="58"/>
      <c r="CU639" s="58"/>
      <c r="CV639" s="58"/>
      <c r="CW639" s="58"/>
      <c r="CX639" s="58"/>
      <c r="CY639" s="58"/>
      <c r="CZ639" s="58"/>
      <c r="DA639" s="58"/>
      <c r="DB639" s="58"/>
      <c r="DC639" s="58"/>
      <c r="DD639" s="58"/>
      <c r="DE639" s="58"/>
      <c r="DF639" s="58"/>
      <c r="DX639" s="1897" t="e">
        <f t="shared" si="22"/>
        <v>#VALUE!</v>
      </c>
      <c r="DY639" s="1897"/>
      <c r="DZ639" s="1897"/>
      <c r="EA639" s="1897"/>
      <c r="EB639" s="1897"/>
      <c r="EC639" s="1897">
        <f t="shared" si="23"/>
        <v>392.5</v>
      </c>
      <c r="ED639" s="1897"/>
      <c r="EE639" s="1897"/>
      <c r="EF639" s="1897"/>
      <c r="EG639" s="1897"/>
      <c r="EH639" s="1897" t="e">
        <f t="shared" si="24"/>
        <v>#VALUE!</v>
      </c>
      <c r="EI639" s="1897"/>
      <c r="EJ639" s="1897"/>
      <c r="EK639" s="1897"/>
      <c r="EL639" s="1897"/>
      <c r="EM639" s="1897" t="e">
        <f t="shared" si="25"/>
        <v>#VALUE!</v>
      </c>
      <c r="EN639" s="1897"/>
      <c r="EO639" s="1897"/>
      <c r="EP639" s="1897"/>
      <c r="EQ639" s="1897"/>
      <c r="ER639" s="1897" t="e">
        <f t="shared" si="26"/>
        <v>#VALUE!</v>
      </c>
      <c r="ES639" s="1897"/>
      <c r="ET639" s="1897"/>
      <c r="EU639" s="1897"/>
      <c r="EV639" s="1897"/>
      <c r="EW639" s="1897" t="e">
        <f t="shared" si="27"/>
        <v>#VALUE!</v>
      </c>
      <c r="EX639" s="1897"/>
      <c r="EY639" s="1897"/>
      <c r="EZ639" s="1897"/>
      <c r="FA639" s="1897"/>
    </row>
    <row r="640" spans="1:157" ht="12.75">
      <c r="B640" s="84" t="s">
        <v>618</v>
      </c>
      <c r="C640" s="1932" t="s">
        <v>2565</v>
      </c>
      <c r="D640" s="1958"/>
      <c r="E640" s="1958"/>
      <c r="F640" s="1958"/>
      <c r="G640" s="1958"/>
      <c r="H640" s="1958"/>
      <c r="I640" s="1958"/>
      <c r="J640" s="1958"/>
      <c r="K640" s="1958"/>
      <c r="L640" s="1958"/>
      <c r="M640" s="1958"/>
      <c r="N640" s="1959"/>
      <c r="O640" s="1926">
        <v>660</v>
      </c>
      <c r="P640" s="1927"/>
      <c r="Q640" s="1928"/>
      <c r="R640" s="1926" t="s">
        <v>2559</v>
      </c>
      <c r="S640" s="1927"/>
      <c r="T640" s="1928"/>
      <c r="U640" s="1939" t="s">
        <v>2564</v>
      </c>
      <c r="V640" s="1940"/>
      <c r="W640" s="1941"/>
      <c r="X640" s="1936" t="s">
        <v>493</v>
      </c>
      <c r="Y640" s="1937"/>
      <c r="Z640" s="1937"/>
      <c r="AA640" s="1937"/>
      <c r="AB640" s="1938"/>
      <c r="AC640" s="2158">
        <v>4</v>
      </c>
      <c r="AD640" s="2159"/>
      <c r="AE640" s="2160"/>
      <c r="AF640" s="2112"/>
      <c r="AG640" s="2113"/>
      <c r="AH640" s="2113"/>
      <c r="AI640" s="2113"/>
      <c r="AJ640" s="2114"/>
      <c r="AK640" s="2177"/>
      <c r="AL640" s="2178"/>
      <c r="AM640" s="2178"/>
      <c r="AN640" s="2179"/>
      <c r="AO640" s="2168">
        <f>'[9]main spreadsheet'!$BO$11</f>
        <v>165000</v>
      </c>
      <c r="AP640" s="2168"/>
      <c r="AQ640" s="2168"/>
      <c r="AR640" s="2168"/>
      <c r="AS640" s="2168"/>
      <c r="AT640" s="239"/>
      <c r="AU640" s="239"/>
      <c r="AV640" s="239"/>
      <c r="AW640" s="239"/>
      <c r="AX640" s="239"/>
      <c r="AY640" s="239"/>
      <c r="AZ640" s="61"/>
      <c r="BA640" s="58" t="s">
        <v>2170</v>
      </c>
      <c r="BB640" s="61"/>
      <c r="BC640" s="61"/>
      <c r="BD640" s="61"/>
      <c r="BE640" s="61"/>
      <c r="BF640" s="61"/>
      <c r="BG640" s="61"/>
      <c r="BH640" s="61"/>
      <c r="BI640" s="61"/>
      <c r="BJ640" s="61"/>
      <c r="BK640" s="61"/>
      <c r="BL640" s="61"/>
      <c r="BM640" s="61"/>
      <c r="BN640" s="1902">
        <f>IF(J772="SRO/Studio",O772,0)</f>
        <v>0</v>
      </c>
      <c r="BO640" s="1903"/>
      <c r="BP640" s="1903"/>
      <c r="BQ640" s="1903"/>
      <c r="BR640" s="1904"/>
      <c r="BS640" s="1901">
        <f>IF(J772="1 Bedroom",O772,0)</f>
        <v>0</v>
      </c>
      <c r="BT640" s="1901"/>
      <c r="BU640" s="1901"/>
      <c r="BV640" s="1901"/>
      <c r="BW640" s="1901"/>
      <c r="BX640" s="1901">
        <f>IF(J772="2 Bedrooms",O772,0)</f>
        <v>0</v>
      </c>
      <c r="BY640" s="1901"/>
      <c r="BZ640" s="1901"/>
      <c r="CA640" s="1901"/>
      <c r="CB640" s="1901"/>
      <c r="CC640" s="1901">
        <f>IF(J772="3 Bedrooms",O772,0)</f>
        <v>1</v>
      </c>
      <c r="CD640" s="1901"/>
      <c r="CE640" s="1901"/>
      <c r="CF640" s="1901"/>
      <c r="CG640" s="1901"/>
      <c r="CH640" s="1901">
        <f>IF(J772="4 Bedrooms",O772,0)</f>
        <v>0</v>
      </c>
      <c r="CI640" s="1901"/>
      <c r="CJ640" s="1901"/>
      <c r="CK640" s="1901"/>
      <c r="CL640" s="1901"/>
      <c r="CM640" s="1901">
        <f>IF(J772="5 Bedrooms",O772,0)</f>
        <v>0</v>
      </c>
      <c r="CN640" s="1901"/>
      <c r="CO640" s="1901"/>
      <c r="CP640" s="1901"/>
      <c r="CQ640" s="1901"/>
      <c r="CR640" s="265"/>
      <c r="CS640" s="58"/>
      <c r="CT640" s="58"/>
      <c r="CU640" s="58"/>
      <c r="CV640" s="58"/>
      <c r="CW640" s="58"/>
      <c r="CX640" s="58"/>
      <c r="CY640" s="58"/>
      <c r="CZ640" s="58"/>
      <c r="DA640" s="58"/>
      <c r="DB640" s="58"/>
      <c r="DC640" s="58"/>
      <c r="DD640" s="58"/>
      <c r="DE640" s="58"/>
      <c r="DF640" s="58"/>
      <c r="DX640" s="1897" t="e">
        <f t="shared" si="22"/>
        <v>#VALUE!</v>
      </c>
      <c r="DY640" s="1897"/>
      <c r="DZ640" s="1897"/>
      <c r="EA640" s="1897"/>
      <c r="EB640" s="1897"/>
      <c r="EC640" s="1897">
        <f t="shared" si="23"/>
        <v>241.75</v>
      </c>
      <c r="ED640" s="1897"/>
      <c r="EE640" s="1897"/>
      <c r="EF640" s="1897"/>
      <c r="EG640" s="1897"/>
      <c r="EH640" s="1897" t="e">
        <f t="shared" si="24"/>
        <v>#VALUE!</v>
      </c>
      <c r="EI640" s="1897"/>
      <c r="EJ640" s="1897"/>
      <c r="EK640" s="1897"/>
      <c r="EL640" s="1897"/>
      <c r="EM640" s="1897" t="e">
        <f t="shared" si="25"/>
        <v>#VALUE!</v>
      </c>
      <c r="EN640" s="1897"/>
      <c r="EO640" s="1897"/>
      <c r="EP640" s="1897"/>
      <c r="EQ640" s="1897"/>
      <c r="ER640" s="1897" t="e">
        <f t="shared" si="26"/>
        <v>#VALUE!</v>
      </c>
      <c r="ES640" s="1897"/>
      <c r="ET640" s="1897"/>
      <c r="EU640" s="1897"/>
      <c r="EV640" s="1897"/>
      <c r="EW640" s="1897" t="e">
        <f t="shared" si="27"/>
        <v>#VALUE!</v>
      </c>
      <c r="EX640" s="1897"/>
      <c r="EY640" s="1897"/>
      <c r="EZ640" s="1897"/>
      <c r="FA640" s="1897"/>
    </row>
    <row r="641" spans="1:157" ht="12.75">
      <c r="B641" s="84" t="s">
        <v>825</v>
      </c>
      <c r="C641" s="1932" t="s">
        <v>2591</v>
      </c>
      <c r="D641" s="1958"/>
      <c r="E641" s="1958"/>
      <c r="F641" s="1958"/>
      <c r="G641" s="1958"/>
      <c r="H641" s="1958"/>
      <c r="I641" s="1958"/>
      <c r="J641" s="1958"/>
      <c r="K641" s="1958"/>
      <c r="L641" s="1958"/>
      <c r="M641" s="1958"/>
      <c r="N641" s="1959"/>
      <c r="O641" s="1926" t="s">
        <v>2559</v>
      </c>
      <c r="P641" s="1927"/>
      <c r="Q641" s="1928"/>
      <c r="R641" s="1926" t="s">
        <v>2559</v>
      </c>
      <c r="S641" s="1927"/>
      <c r="T641" s="1928"/>
      <c r="U641" s="1939"/>
      <c r="V641" s="1940"/>
      <c r="W641" s="1941"/>
      <c r="X641" s="1936" t="s">
        <v>1388</v>
      </c>
      <c r="Y641" s="1937"/>
      <c r="Z641" s="1937"/>
      <c r="AA641" s="1937"/>
      <c r="AB641" s="1938"/>
      <c r="AC641" s="2158"/>
      <c r="AD641" s="2159"/>
      <c r="AE641" s="2160"/>
      <c r="AF641" s="2112"/>
      <c r="AG641" s="2113"/>
      <c r="AH641" s="2113"/>
      <c r="AI641" s="2113"/>
      <c r="AJ641" s="2114"/>
      <c r="AK641" s="2177"/>
      <c r="AL641" s="2178"/>
      <c r="AM641" s="2178"/>
      <c r="AN641" s="2179"/>
      <c r="AO641" s="2168">
        <f>AM568</f>
        <v>3300000</v>
      </c>
      <c r="AP641" s="2168"/>
      <c r="AQ641" s="2168"/>
      <c r="AR641" s="2168"/>
      <c r="AS641" s="2168"/>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1902">
        <f>IF(J773="SRO/Studio",O773,0)</f>
        <v>0</v>
      </c>
      <c r="BO641" s="1903"/>
      <c r="BP641" s="1903"/>
      <c r="BQ641" s="1903"/>
      <c r="BR641" s="1904"/>
      <c r="BS641" s="1901">
        <f>IF(J773="1 Bedroom",O773,0)</f>
        <v>0</v>
      </c>
      <c r="BT641" s="1901"/>
      <c r="BU641" s="1901"/>
      <c r="BV641" s="1901"/>
      <c r="BW641" s="1901"/>
      <c r="BX641" s="1901">
        <f>IF(J773="2 Bedrooms",O773,0)</f>
        <v>0</v>
      </c>
      <c r="BY641" s="1901"/>
      <c r="BZ641" s="1901"/>
      <c r="CA641" s="1901"/>
      <c r="CB641" s="1901"/>
      <c r="CC641" s="1901">
        <f>IF(J773="3 Bedrooms",O773,0)</f>
        <v>0</v>
      </c>
      <c r="CD641" s="1901"/>
      <c r="CE641" s="1901"/>
      <c r="CF641" s="1901"/>
      <c r="CG641" s="1901"/>
      <c r="CH641" s="1901">
        <f>IF(J773="4 Bedrooms",O773,0)</f>
        <v>0</v>
      </c>
      <c r="CI641" s="1901"/>
      <c r="CJ641" s="1901"/>
      <c r="CK641" s="1901"/>
      <c r="CL641" s="1901"/>
      <c r="CM641" s="1901">
        <f>IF(J773="5 Bedrooms",O773,0)</f>
        <v>0</v>
      </c>
      <c r="CN641" s="1901"/>
      <c r="CO641" s="1901"/>
      <c r="CP641" s="1901"/>
      <c r="CQ641" s="1901"/>
      <c r="CR641" s="265"/>
      <c r="CS641" s="58"/>
      <c r="CT641" s="58"/>
      <c r="CU641" s="58"/>
      <c r="CV641" s="58"/>
      <c r="CW641" s="58"/>
      <c r="CX641" s="58"/>
      <c r="CY641" s="58"/>
      <c r="CZ641" s="58"/>
      <c r="DA641" s="58"/>
      <c r="DB641" s="58"/>
      <c r="DC641" s="58"/>
      <c r="DD641" s="58"/>
      <c r="DE641" s="58"/>
      <c r="DF641" s="58"/>
      <c r="DX641" s="1897" t="e">
        <f t="shared" si="22"/>
        <v>#VALUE!</v>
      </c>
      <c r="DY641" s="1897"/>
      <c r="DZ641" s="1897"/>
      <c r="EA641" s="1897"/>
      <c r="EB641" s="1897"/>
      <c r="EC641" s="1897" t="e">
        <f t="shared" si="23"/>
        <v>#VALUE!</v>
      </c>
      <c r="ED641" s="1897"/>
      <c r="EE641" s="1897"/>
      <c r="EF641" s="1897"/>
      <c r="EG641" s="1897"/>
      <c r="EH641" s="1897">
        <f t="shared" si="24"/>
        <v>48</v>
      </c>
      <c r="EI641" s="1897"/>
      <c r="EJ641" s="1897"/>
      <c r="EK641" s="1897"/>
      <c r="EL641" s="1897"/>
      <c r="EM641" s="1897" t="e">
        <f t="shared" si="25"/>
        <v>#VALUE!</v>
      </c>
      <c r="EN641" s="1897"/>
      <c r="EO641" s="1897"/>
      <c r="EP641" s="1897"/>
      <c r="EQ641" s="1897"/>
      <c r="ER641" s="1897" t="e">
        <f t="shared" si="26"/>
        <v>#VALUE!</v>
      </c>
      <c r="ES641" s="1897"/>
      <c r="ET641" s="1897"/>
      <c r="EU641" s="1897"/>
      <c r="EV641" s="1897"/>
      <c r="EW641" s="1897" t="e">
        <f t="shared" si="27"/>
        <v>#VALUE!</v>
      </c>
      <c r="EX641" s="1897"/>
      <c r="EY641" s="1897"/>
      <c r="EZ641" s="1897"/>
      <c r="FA641" s="1897"/>
    </row>
    <row r="642" spans="1:157" ht="12.75">
      <c r="B642" s="84" t="s">
        <v>621</v>
      </c>
      <c r="C642" s="1958" t="s">
        <v>2469</v>
      </c>
      <c r="D642" s="1958"/>
      <c r="E642" s="1958"/>
      <c r="F642" s="1958"/>
      <c r="G642" s="1958"/>
      <c r="H642" s="1958"/>
      <c r="I642" s="1958"/>
      <c r="J642" s="1958"/>
      <c r="K642" s="1958"/>
      <c r="L642" s="1958"/>
      <c r="M642" s="1958"/>
      <c r="N642" s="1959"/>
      <c r="O642" s="1926" t="s">
        <v>2559</v>
      </c>
      <c r="P642" s="1927"/>
      <c r="Q642" s="1928"/>
      <c r="R642" s="1926" t="s">
        <v>2559</v>
      </c>
      <c r="S642" s="1927"/>
      <c r="T642" s="1928"/>
      <c r="U642" s="1939"/>
      <c r="V642" s="1940"/>
      <c r="W642" s="1941"/>
      <c r="X642" s="1936" t="s">
        <v>1388</v>
      </c>
      <c r="Y642" s="1937"/>
      <c r="Z642" s="1937"/>
      <c r="AA642" s="1937"/>
      <c r="AB642" s="1938"/>
      <c r="AC642" s="2158"/>
      <c r="AD642" s="2159"/>
      <c r="AE642" s="2160"/>
      <c r="AF642" s="2112"/>
      <c r="AG642" s="2113"/>
      <c r="AH642" s="2113"/>
      <c r="AI642" s="2113"/>
      <c r="AJ642" s="2114"/>
      <c r="AK642" s="2177"/>
      <c r="AL642" s="2178"/>
      <c r="AM642" s="2178"/>
      <c r="AN642" s="2179"/>
      <c r="AO642" s="2168">
        <f>'[9]main spreadsheet'!$BO$14</f>
        <v>1283210.2122432902</v>
      </c>
      <c r="AP642" s="2168"/>
      <c r="AQ642" s="2168"/>
      <c r="AR642" s="2168"/>
      <c r="AS642" s="2168"/>
      <c r="AT642" s="239"/>
      <c r="AU642" s="239"/>
      <c r="AV642" s="239"/>
      <c r="AW642" s="239"/>
      <c r="AX642" s="239"/>
      <c r="AY642" s="239"/>
      <c r="AZ642" s="61"/>
      <c r="BA642" s="61"/>
      <c r="BB642" s="61"/>
      <c r="BC642" s="61"/>
      <c r="BD642" s="61"/>
      <c r="BE642" s="61"/>
      <c r="BF642" s="61"/>
      <c r="BG642" s="61"/>
      <c r="BH642" s="61"/>
      <c r="BI642" s="61"/>
      <c r="BJ642" s="61"/>
      <c r="BK642" s="61"/>
      <c r="BL642" s="61"/>
      <c r="BM642" s="61"/>
      <c r="BN642" s="1902">
        <f>IF(J774="SRO/Studio",O774,0)</f>
        <v>0</v>
      </c>
      <c r="BO642" s="1903"/>
      <c r="BP642" s="1903"/>
      <c r="BQ642" s="1903"/>
      <c r="BR642" s="1904"/>
      <c r="BS642" s="1901">
        <f>IF(J774="1 Bedroom",O774,0)</f>
        <v>0</v>
      </c>
      <c r="BT642" s="1901"/>
      <c r="BU642" s="1901"/>
      <c r="BV642" s="1901"/>
      <c r="BW642" s="1901"/>
      <c r="BX642" s="1901">
        <f>IF(J774="2 Bedrooms",O774,0)</f>
        <v>0</v>
      </c>
      <c r="BY642" s="1901"/>
      <c r="BZ642" s="1901"/>
      <c r="CA642" s="1901"/>
      <c r="CB642" s="1901"/>
      <c r="CC642" s="1901">
        <f>IF(J774="3 Bedrooms",O774,0)</f>
        <v>0</v>
      </c>
      <c r="CD642" s="1901"/>
      <c r="CE642" s="1901"/>
      <c r="CF642" s="1901"/>
      <c r="CG642" s="1901"/>
      <c r="CH642" s="1901">
        <f>IF(J774="4 Bedrooms",O774,0)</f>
        <v>0</v>
      </c>
      <c r="CI642" s="1901"/>
      <c r="CJ642" s="1901"/>
      <c r="CK642" s="1901"/>
      <c r="CL642" s="1901"/>
      <c r="CM642" s="1901">
        <f>IF(J774="5 Bedrooms",O774,0)</f>
        <v>0</v>
      </c>
      <c r="CN642" s="1901"/>
      <c r="CO642" s="1901"/>
      <c r="CP642" s="1901"/>
      <c r="CQ642" s="1901"/>
      <c r="CR642" s="265"/>
      <c r="CS642" s="58"/>
      <c r="CT642" s="58"/>
      <c r="CU642" s="58"/>
      <c r="CV642" s="58"/>
      <c r="CW642" s="58"/>
      <c r="CX642" s="58"/>
      <c r="CY642" s="58"/>
      <c r="CZ642" s="58"/>
      <c r="DA642" s="58"/>
      <c r="DB642" s="58"/>
      <c r="DC642" s="58"/>
      <c r="DD642" s="58"/>
      <c r="DE642" s="58"/>
      <c r="DF642" s="58"/>
      <c r="DX642" s="1897" t="e">
        <f t="shared" si="22"/>
        <v>#VALUE!</v>
      </c>
      <c r="DY642" s="1897"/>
      <c r="DZ642" s="1897"/>
      <c r="EA642" s="1897"/>
      <c r="EB642" s="1897"/>
      <c r="EC642" s="1897" t="e">
        <f t="shared" si="23"/>
        <v>#VALUE!</v>
      </c>
      <c r="ED642" s="1897"/>
      <c r="EE642" s="1897"/>
      <c r="EF642" s="1897"/>
      <c r="EG642" s="1897"/>
      <c r="EH642" s="1897">
        <f t="shared" si="24"/>
        <v>366.8</v>
      </c>
      <c r="EI642" s="1897"/>
      <c r="EJ642" s="1897"/>
      <c r="EK642" s="1897"/>
      <c r="EL642" s="1897"/>
      <c r="EM642" s="1897" t="e">
        <f t="shared" si="25"/>
        <v>#VALUE!</v>
      </c>
      <c r="EN642" s="1897"/>
      <c r="EO642" s="1897"/>
      <c r="EP642" s="1897"/>
      <c r="EQ642" s="1897"/>
      <c r="ER642" s="1897" t="e">
        <f t="shared" si="26"/>
        <v>#VALUE!</v>
      </c>
      <c r="ES642" s="1897"/>
      <c r="ET642" s="1897"/>
      <c r="EU642" s="1897"/>
      <c r="EV642" s="1897"/>
      <c r="EW642" s="1897" t="e">
        <f t="shared" si="27"/>
        <v>#VALUE!</v>
      </c>
      <c r="EX642" s="1897"/>
      <c r="EY642" s="1897"/>
      <c r="EZ642" s="1897"/>
      <c r="FA642" s="1897"/>
    </row>
    <row r="643" spans="1:157" ht="12.75">
      <c r="B643" s="84" t="s">
        <v>489</v>
      </c>
      <c r="C643" s="1958" t="s">
        <v>2566</v>
      </c>
      <c r="D643" s="1958"/>
      <c r="E643" s="1958"/>
      <c r="F643" s="1958"/>
      <c r="G643" s="1958"/>
      <c r="H643" s="1958"/>
      <c r="I643" s="1958"/>
      <c r="J643" s="1958"/>
      <c r="K643" s="1958"/>
      <c r="L643" s="1958"/>
      <c r="M643" s="1958"/>
      <c r="N643" s="1959"/>
      <c r="O643" s="1926" t="s">
        <v>2559</v>
      </c>
      <c r="P643" s="1927"/>
      <c r="Q643" s="1928"/>
      <c r="R643" s="1926" t="s">
        <v>2559</v>
      </c>
      <c r="S643" s="1927"/>
      <c r="T643" s="1928"/>
      <c r="U643" s="1939"/>
      <c r="V643" s="1940"/>
      <c r="W643" s="1941"/>
      <c r="X643" s="1936" t="s">
        <v>1388</v>
      </c>
      <c r="Y643" s="1937"/>
      <c r="Z643" s="1937"/>
      <c r="AA643" s="1937"/>
      <c r="AB643" s="1938"/>
      <c r="AC643" s="2158"/>
      <c r="AD643" s="2159"/>
      <c r="AE643" s="2160"/>
      <c r="AF643" s="2112"/>
      <c r="AG643" s="2113"/>
      <c r="AH643" s="2113"/>
      <c r="AI643" s="2113"/>
      <c r="AJ643" s="2114"/>
      <c r="AK643" s="2177"/>
      <c r="AL643" s="2178"/>
      <c r="AM643" s="2178"/>
      <c r="AN643" s="2179"/>
      <c r="AO643" s="2168">
        <f>'[9]main spreadsheet'!$BO$16</f>
        <v>459743.42961278558</v>
      </c>
      <c r="AP643" s="2168"/>
      <c r="AQ643" s="2168"/>
      <c r="AR643" s="2168"/>
      <c r="AS643" s="2168"/>
      <c r="AT643" s="239"/>
      <c r="AU643" s="239"/>
      <c r="AV643" s="239"/>
      <c r="AW643" s="239"/>
      <c r="AX643" s="239"/>
      <c r="AY643" s="239"/>
      <c r="AZ643" s="61"/>
      <c r="BA643" s="61"/>
      <c r="BB643" s="61"/>
      <c r="BC643" s="61"/>
      <c r="BD643" s="61"/>
      <c r="BE643" s="61"/>
      <c r="BF643" s="61"/>
      <c r="BG643" s="61"/>
      <c r="BH643" s="61"/>
      <c r="BI643" s="61"/>
      <c r="BJ643" s="61"/>
      <c r="BK643" s="61"/>
      <c r="BL643" s="61"/>
      <c r="BM643" s="61"/>
      <c r="BN643" s="1902">
        <f>IF(J775="SRO/Studio",O775,0)</f>
        <v>0</v>
      </c>
      <c r="BO643" s="1903"/>
      <c r="BP643" s="1903"/>
      <c r="BQ643" s="1903"/>
      <c r="BR643" s="1904"/>
      <c r="BS643" s="1901">
        <f>IF(J775="1 Bedroom",O775,0)</f>
        <v>0</v>
      </c>
      <c r="BT643" s="1901"/>
      <c r="BU643" s="1901"/>
      <c r="BV643" s="1901"/>
      <c r="BW643" s="1901"/>
      <c r="BX643" s="1901">
        <f>IF(J775="2 Bedrooms",O775,0)</f>
        <v>0</v>
      </c>
      <c r="BY643" s="1901"/>
      <c r="BZ643" s="1901"/>
      <c r="CA643" s="1901"/>
      <c r="CB643" s="1901"/>
      <c r="CC643" s="1901">
        <f>IF(J775="3 Bedrooms",O775,0)</f>
        <v>0</v>
      </c>
      <c r="CD643" s="1901"/>
      <c r="CE643" s="1901"/>
      <c r="CF643" s="1901"/>
      <c r="CG643" s="1901"/>
      <c r="CH643" s="1901">
        <f>IF(J775="4 Bedrooms",O775,0)</f>
        <v>0</v>
      </c>
      <c r="CI643" s="1901"/>
      <c r="CJ643" s="1901"/>
      <c r="CK643" s="1901"/>
      <c r="CL643" s="1901"/>
      <c r="CM643" s="1901">
        <f>IF(J775="5 Bedrooms",O775,0)</f>
        <v>0</v>
      </c>
      <c r="CN643" s="1901"/>
      <c r="CO643" s="1901"/>
      <c r="CP643" s="1901"/>
      <c r="CQ643" s="1901"/>
      <c r="CR643" s="265"/>
      <c r="CS643" s="58"/>
      <c r="CT643" s="58"/>
      <c r="CU643" s="58"/>
      <c r="CV643" s="58"/>
      <c r="CW643" s="58"/>
      <c r="CX643" s="58"/>
      <c r="CY643" s="58"/>
      <c r="CZ643" s="58"/>
      <c r="DA643" s="58"/>
      <c r="DB643" s="58"/>
      <c r="DC643" s="58"/>
      <c r="DD643" s="58"/>
      <c r="DE643" s="58"/>
      <c r="DF643" s="58"/>
      <c r="DX643" s="1897" t="e">
        <f t="shared" si="22"/>
        <v>#VALUE!</v>
      </c>
      <c r="DY643" s="1897"/>
      <c r="DZ643" s="1897"/>
      <c r="EA643" s="1897"/>
      <c r="EB643" s="1897"/>
      <c r="EC643" s="1897" t="e">
        <f t="shared" si="23"/>
        <v>#VALUE!</v>
      </c>
      <c r="ED643" s="1897"/>
      <c r="EE643" s="1897"/>
      <c r="EF643" s="1897"/>
      <c r="EG643" s="1897"/>
      <c r="EH643" s="1897">
        <f t="shared" si="24"/>
        <v>302.66666666666669</v>
      </c>
      <c r="EI643" s="1897"/>
      <c r="EJ643" s="1897"/>
      <c r="EK643" s="1897"/>
      <c r="EL643" s="1897"/>
      <c r="EM643" s="1897" t="e">
        <f t="shared" si="25"/>
        <v>#VALUE!</v>
      </c>
      <c r="EN643" s="1897"/>
      <c r="EO643" s="1897"/>
      <c r="EP643" s="1897"/>
      <c r="EQ643" s="1897"/>
      <c r="ER643" s="1897" t="e">
        <f t="shared" si="26"/>
        <v>#VALUE!</v>
      </c>
      <c r="ES643" s="1897"/>
      <c r="ET643" s="1897"/>
      <c r="EU643" s="1897"/>
      <c r="EV643" s="1897"/>
      <c r="EW643" s="1897" t="e">
        <f t="shared" si="27"/>
        <v>#VALUE!</v>
      </c>
      <c r="EX643" s="1897"/>
      <c r="EY643" s="1897"/>
      <c r="EZ643" s="1897"/>
      <c r="FA643" s="1897"/>
    </row>
    <row r="644" spans="1:157" ht="12.75">
      <c r="B644" s="84" t="s">
        <v>490</v>
      </c>
      <c r="C644" s="1958" t="s">
        <v>2574</v>
      </c>
      <c r="D644" s="1958"/>
      <c r="E644" s="1958"/>
      <c r="F644" s="1958"/>
      <c r="G644" s="1958"/>
      <c r="H644" s="1958"/>
      <c r="I644" s="1958"/>
      <c r="J644" s="1958"/>
      <c r="K644" s="1958"/>
      <c r="L644" s="1958"/>
      <c r="M644" s="1958"/>
      <c r="N644" s="1959"/>
      <c r="O644" s="1926" t="s">
        <v>2559</v>
      </c>
      <c r="P644" s="1927"/>
      <c r="Q644" s="1928"/>
      <c r="R644" s="1926" t="s">
        <v>2559</v>
      </c>
      <c r="S644" s="1927"/>
      <c r="T644" s="1928"/>
      <c r="U644" s="1939"/>
      <c r="V644" s="1940"/>
      <c r="W644" s="1941"/>
      <c r="X644" s="1936" t="s">
        <v>1388</v>
      </c>
      <c r="Y644" s="1937"/>
      <c r="Z644" s="1937"/>
      <c r="AA644" s="1937"/>
      <c r="AB644" s="1938"/>
      <c r="AC644" s="2158"/>
      <c r="AD644" s="2159"/>
      <c r="AE644" s="2160"/>
      <c r="AF644" s="2112"/>
      <c r="AG644" s="2113"/>
      <c r="AH644" s="2113"/>
      <c r="AI644" s="2113"/>
      <c r="AJ644" s="2114"/>
      <c r="AK644" s="2177"/>
      <c r="AL644" s="2178"/>
      <c r="AM644" s="2178"/>
      <c r="AN644" s="2179"/>
      <c r="AO644" s="2168">
        <f>'[9]main spreadsheet'!$BQ$19*0.9999*'[9]main spreadsheet'!$DE$52</f>
        <v>350371.37308376189</v>
      </c>
      <c r="AP644" s="2168"/>
      <c r="AQ644" s="2168"/>
      <c r="AR644" s="2168"/>
      <c r="AS644" s="2168"/>
      <c r="AT644" s="239"/>
      <c r="AU644" s="239"/>
      <c r="AV644" s="239"/>
      <c r="AW644" s="239"/>
      <c r="AX644" s="239"/>
      <c r="AY644" s="239"/>
      <c r="AZ644" s="61"/>
      <c r="BA644" s="61"/>
      <c r="BB644" s="61"/>
      <c r="BC644" s="61"/>
      <c r="BD644" s="61"/>
      <c r="BE644" s="61"/>
      <c r="BF644" s="61"/>
      <c r="BG644" s="61"/>
      <c r="BH644" s="61"/>
      <c r="BI644" s="61"/>
      <c r="BJ644" s="61"/>
      <c r="BK644" s="61"/>
      <c r="BL644" s="61"/>
      <c r="BM644" s="61"/>
      <c r="BN644" s="1902">
        <f>SUM(BN640:BR643)</f>
        <v>0</v>
      </c>
      <c r="BO644" s="1903"/>
      <c r="BP644" s="1903"/>
      <c r="BQ644" s="1903"/>
      <c r="BR644" s="1904"/>
      <c r="BS644" s="1901">
        <f>SUM(BS640:BW643)</f>
        <v>0</v>
      </c>
      <c r="BT644" s="1901"/>
      <c r="BU644" s="1901"/>
      <c r="BV644" s="1901"/>
      <c r="BW644" s="1901"/>
      <c r="BX644" s="1901">
        <f>SUM(BX640:CB643)</f>
        <v>0</v>
      </c>
      <c r="BY644" s="1901"/>
      <c r="BZ644" s="1901"/>
      <c r="CA644" s="1901"/>
      <c r="CB644" s="1901"/>
      <c r="CC644" s="1901">
        <f>SUM(CC640:CG643)</f>
        <v>1</v>
      </c>
      <c r="CD644" s="1901"/>
      <c r="CE644" s="1901"/>
      <c r="CF644" s="1901"/>
      <c r="CG644" s="1901"/>
      <c r="CH644" s="1901">
        <f>SUM(CH640:CL643)</f>
        <v>0</v>
      </c>
      <c r="CI644" s="1901"/>
      <c r="CJ644" s="1901"/>
      <c r="CK644" s="1901"/>
      <c r="CL644" s="1901"/>
      <c r="CM644" s="1901">
        <f>SUM(CM640:CQ643)</f>
        <v>0</v>
      </c>
      <c r="CN644" s="1901"/>
      <c r="CO644" s="1901"/>
      <c r="CP644" s="1901"/>
      <c r="CQ644" s="1901"/>
      <c r="CR644" s="1666"/>
      <c r="CS644" s="1391">
        <f>BN644+BS644+BX644+CC644+CH644+CM644</f>
        <v>1</v>
      </c>
      <c r="CT644" s="134" t="s">
        <v>2478</v>
      </c>
      <c r="CU644" s="58"/>
      <c r="CV644" s="58"/>
      <c r="CW644" s="58"/>
      <c r="CX644" s="58"/>
      <c r="CY644" s="58"/>
      <c r="CZ644" s="58"/>
      <c r="DA644" s="58"/>
      <c r="DB644" s="58"/>
      <c r="DC644" s="58"/>
      <c r="DD644" s="58"/>
      <c r="DE644" s="58"/>
      <c r="DF644" s="58"/>
      <c r="DX644" s="1897" t="e">
        <f t="shared" si="22"/>
        <v>#VALUE!</v>
      </c>
      <c r="DY644" s="1897"/>
      <c r="DZ644" s="1897"/>
      <c r="EA644" s="1897"/>
      <c r="EB644" s="1897"/>
      <c r="EC644" s="1897" t="e">
        <f t="shared" si="23"/>
        <v>#VALUE!</v>
      </c>
      <c r="ED644" s="1897"/>
      <c r="EE644" s="1897"/>
      <c r="EF644" s="1897"/>
      <c r="EG644" s="1897"/>
      <c r="EH644" s="1897">
        <f t="shared" si="24"/>
        <v>366.8</v>
      </c>
      <c r="EI644" s="1897"/>
      <c r="EJ644" s="1897"/>
      <c r="EK644" s="1897"/>
      <c r="EL644" s="1897"/>
      <c r="EM644" s="1897" t="e">
        <f t="shared" si="25"/>
        <v>#VALUE!</v>
      </c>
      <c r="EN644" s="1897"/>
      <c r="EO644" s="1897"/>
      <c r="EP644" s="1897"/>
      <c r="EQ644" s="1897"/>
      <c r="ER644" s="1897" t="e">
        <f t="shared" si="26"/>
        <v>#VALUE!</v>
      </c>
      <c r="ES644" s="1897"/>
      <c r="ET644" s="1897"/>
      <c r="EU644" s="1897"/>
      <c r="EV644" s="1897"/>
      <c r="EW644" s="1897" t="e">
        <f t="shared" si="27"/>
        <v>#VALUE!</v>
      </c>
      <c r="EX644" s="1897"/>
      <c r="EY644" s="1897"/>
      <c r="EZ644" s="1897"/>
      <c r="FA644" s="1897"/>
    </row>
    <row r="645" spans="1:157" ht="12.75">
      <c r="B645" s="84" t="s">
        <v>496</v>
      </c>
      <c r="C645" s="1958"/>
      <c r="D645" s="1958"/>
      <c r="E645" s="1958"/>
      <c r="F645" s="1958"/>
      <c r="G645" s="1958"/>
      <c r="H645" s="1958"/>
      <c r="I645" s="1958"/>
      <c r="J645" s="1958"/>
      <c r="K645" s="1958"/>
      <c r="L645" s="1958"/>
      <c r="M645" s="1958"/>
      <c r="N645" s="1959"/>
      <c r="O645" s="1926"/>
      <c r="P645" s="1927"/>
      <c r="Q645" s="1928"/>
      <c r="R645" s="1926"/>
      <c r="S645" s="1927"/>
      <c r="T645" s="1928"/>
      <c r="U645" s="1939"/>
      <c r="V645" s="1940"/>
      <c r="W645" s="1941"/>
      <c r="X645" s="1936" t="s">
        <v>1388</v>
      </c>
      <c r="Y645" s="1937"/>
      <c r="Z645" s="1937"/>
      <c r="AA645" s="1937"/>
      <c r="AB645" s="1938"/>
      <c r="AC645" s="2158"/>
      <c r="AD645" s="2159"/>
      <c r="AE645" s="2160"/>
      <c r="AF645" s="2112"/>
      <c r="AG645" s="2113"/>
      <c r="AH645" s="2113"/>
      <c r="AI645" s="2113"/>
      <c r="AJ645" s="2114"/>
      <c r="AK645" s="2177"/>
      <c r="AL645" s="2178"/>
      <c r="AM645" s="2178"/>
      <c r="AN645" s="2179"/>
      <c r="AO645" s="2168"/>
      <c r="AP645" s="2168"/>
      <c r="AQ645" s="2168"/>
      <c r="AR645" s="2168"/>
      <c r="AS645" s="2168"/>
      <c r="AT645" s="239"/>
      <c r="AU645" s="239"/>
      <c r="AV645" s="239"/>
      <c r="AW645" s="239"/>
      <c r="AX645" s="239"/>
      <c r="AY645" s="239"/>
      <c r="AZ645" s="61"/>
      <c r="BA645" s="61"/>
      <c r="BB645" s="61"/>
      <c r="BC645" s="61"/>
      <c r="BD645" s="61"/>
      <c r="BE645" s="61"/>
      <c r="BF645" s="61"/>
      <c r="BG645" s="61"/>
      <c r="BH645" s="61"/>
      <c r="BI645" s="61"/>
      <c r="BJ645" s="61"/>
      <c r="BK645" s="61"/>
      <c r="BL645" s="61"/>
      <c r="BM645" s="61"/>
      <c r="BR645" s="1391">
        <f>BN644*1</f>
        <v>0</v>
      </c>
      <c r="BS645" s="58"/>
      <c r="BT645" s="58"/>
      <c r="BU645" s="58"/>
      <c r="BV645" s="58"/>
      <c r="BW645" s="1391">
        <f>BS644*1</f>
        <v>0</v>
      </c>
      <c r="BX645" s="58"/>
      <c r="BY645" s="58"/>
      <c r="BZ645" s="58"/>
      <c r="CA645" s="58"/>
      <c r="CB645" s="1391">
        <f>BX644*2</f>
        <v>0</v>
      </c>
      <c r="CC645" s="58"/>
      <c r="CD645" s="58"/>
      <c r="CE645" s="58"/>
      <c r="CF645" s="58"/>
      <c r="CG645" s="1391">
        <f>CC644*3</f>
        <v>3</v>
      </c>
      <c r="CH645" s="58"/>
      <c r="CI645" s="58"/>
      <c r="CJ645" s="58"/>
      <c r="CK645" s="58"/>
      <c r="CL645" s="1391">
        <f>CH644*4</f>
        <v>0</v>
      </c>
      <c r="CM645" s="58"/>
      <c r="CN645" s="58"/>
      <c r="CO645" s="58"/>
      <c r="CP645" s="58"/>
      <c r="CQ645" s="1391">
        <f>CM644*5</f>
        <v>0</v>
      </c>
      <c r="CS645" s="1391">
        <f>BR645+BW645+CB645+CG645+CL645+CQ645</f>
        <v>3</v>
      </c>
      <c r="CT645" s="134" t="s">
        <v>2479</v>
      </c>
      <c r="CU645" s="58"/>
      <c r="CV645" s="58"/>
      <c r="CW645" s="58"/>
      <c r="CX645" s="58"/>
      <c r="CY645" s="58"/>
      <c r="CZ645" s="58"/>
      <c r="DA645" s="58"/>
      <c r="DB645" s="58"/>
      <c r="DC645" s="58"/>
      <c r="DD645" s="58"/>
      <c r="DE645" s="58"/>
      <c r="DF645" s="58"/>
      <c r="DX645" s="1897" t="e">
        <f t="shared" si="22"/>
        <v>#VALUE!</v>
      </c>
      <c r="DY645" s="1897"/>
      <c r="DZ645" s="1897"/>
      <c r="EA645" s="1897"/>
      <c r="EB645" s="1897"/>
      <c r="EC645" s="1897" t="e">
        <f t="shared" si="23"/>
        <v>#VALUE!</v>
      </c>
      <c r="ED645" s="1897"/>
      <c r="EE645" s="1897"/>
      <c r="EF645" s="1897"/>
      <c r="EG645" s="1897"/>
      <c r="EH645" s="1897" t="e">
        <f t="shared" si="24"/>
        <v>#VALUE!</v>
      </c>
      <c r="EI645" s="1897"/>
      <c r="EJ645" s="1897"/>
      <c r="EK645" s="1897"/>
      <c r="EL645" s="1897"/>
      <c r="EM645" s="1897">
        <f t="shared" si="25"/>
        <v>49.645161290322577</v>
      </c>
      <c r="EN645" s="1897"/>
      <c r="EO645" s="1897"/>
      <c r="EP645" s="1897"/>
      <c r="EQ645" s="1897"/>
      <c r="ER645" s="1897" t="e">
        <f t="shared" si="26"/>
        <v>#VALUE!</v>
      </c>
      <c r="ES645" s="1897"/>
      <c r="ET645" s="1897"/>
      <c r="EU645" s="1897"/>
      <c r="EV645" s="1897"/>
      <c r="EW645" s="1897" t="e">
        <f t="shared" si="27"/>
        <v>#VALUE!</v>
      </c>
      <c r="EX645" s="1897"/>
      <c r="EY645" s="1897"/>
      <c r="EZ645" s="1897"/>
      <c r="FA645" s="1897"/>
    </row>
    <row r="646" spans="1:157" ht="12.75">
      <c r="B646" s="84" t="s">
        <v>683</v>
      </c>
      <c r="C646" s="1958"/>
      <c r="D646" s="1958"/>
      <c r="E646" s="1958"/>
      <c r="F646" s="1958"/>
      <c r="G646" s="1958"/>
      <c r="H646" s="1958"/>
      <c r="I646" s="1958"/>
      <c r="J646" s="1958"/>
      <c r="K646" s="1958"/>
      <c r="L646" s="1958"/>
      <c r="M646" s="1958"/>
      <c r="N646" s="1959"/>
      <c r="O646" s="1926"/>
      <c r="P646" s="1927"/>
      <c r="Q646" s="1928"/>
      <c r="R646" s="1926"/>
      <c r="S646" s="1927"/>
      <c r="T646" s="1928"/>
      <c r="U646" s="1939"/>
      <c r="V646" s="1940"/>
      <c r="W646" s="1941"/>
      <c r="X646" s="1936" t="s">
        <v>1388</v>
      </c>
      <c r="Y646" s="1937"/>
      <c r="Z646" s="1937"/>
      <c r="AA646" s="1937"/>
      <c r="AB646" s="1938"/>
      <c r="AC646" s="2158"/>
      <c r="AD646" s="2159"/>
      <c r="AE646" s="2160"/>
      <c r="AF646" s="2112"/>
      <c r="AG646" s="2113"/>
      <c r="AH646" s="2113"/>
      <c r="AI646" s="2113"/>
      <c r="AJ646" s="2114"/>
      <c r="AK646" s="2177"/>
      <c r="AL646" s="2178"/>
      <c r="AM646" s="2178"/>
      <c r="AN646" s="2179"/>
      <c r="AO646" s="2168"/>
      <c r="AP646" s="2168"/>
      <c r="AQ646" s="2168"/>
      <c r="AR646" s="2168"/>
      <c r="AS646" s="2168"/>
      <c r="AT646" s="239"/>
      <c r="AU646" s="239"/>
      <c r="AV646" s="239"/>
      <c r="AW646" s="239"/>
      <c r="AX646" s="239"/>
      <c r="AY646" s="239"/>
      <c r="AZ646" s="61"/>
      <c r="BA646" s="61"/>
      <c r="BB646" s="61"/>
      <c r="BC646" s="61"/>
      <c r="BD646" s="61"/>
      <c r="BE646" s="61"/>
      <c r="BF646" s="61"/>
      <c r="BG646" s="61"/>
      <c r="BH646" s="61"/>
      <c r="BI646" s="61"/>
      <c r="BJ646" s="61"/>
      <c r="BK646" s="61"/>
      <c r="BL646" s="61"/>
      <c r="BM646" s="61"/>
      <c r="CU646" s="58"/>
      <c r="CV646" s="58"/>
      <c r="CW646" s="58"/>
      <c r="CX646" s="58"/>
      <c r="CY646" s="58"/>
      <c r="CZ646" s="58"/>
      <c r="DA646" s="58"/>
      <c r="DB646" s="58"/>
      <c r="DC646" s="58"/>
      <c r="DD646" s="58"/>
      <c r="DE646" s="58"/>
      <c r="DF646" s="58"/>
      <c r="DX646" s="1897" t="e">
        <f t="shared" si="22"/>
        <v>#VALUE!</v>
      </c>
      <c r="DY646" s="1897"/>
      <c r="DZ646" s="1897"/>
      <c r="EA646" s="1897"/>
      <c r="EB646" s="1897"/>
      <c r="EC646" s="1897" t="e">
        <f t="shared" si="23"/>
        <v>#VALUE!</v>
      </c>
      <c r="ED646" s="1897"/>
      <c r="EE646" s="1897"/>
      <c r="EF646" s="1897"/>
      <c r="EG646" s="1897"/>
      <c r="EH646" s="1897" t="e">
        <f t="shared" si="24"/>
        <v>#VALUE!</v>
      </c>
      <c r="EI646" s="1897"/>
      <c r="EJ646" s="1897"/>
      <c r="EK646" s="1897"/>
      <c r="EL646" s="1897"/>
      <c r="EM646" s="1897">
        <f t="shared" si="25"/>
        <v>328.06451612903226</v>
      </c>
      <c r="EN646" s="1897"/>
      <c r="EO646" s="1897"/>
      <c r="EP646" s="1897"/>
      <c r="EQ646" s="1897"/>
      <c r="ER646" s="1897" t="e">
        <f t="shared" si="26"/>
        <v>#VALUE!</v>
      </c>
      <c r="ES646" s="1897"/>
      <c r="ET646" s="1897"/>
      <c r="EU646" s="1897"/>
      <c r="EV646" s="1897"/>
      <c r="EW646" s="1897" t="e">
        <f t="shared" si="27"/>
        <v>#VALUE!</v>
      </c>
      <c r="EX646" s="1897"/>
      <c r="EY646" s="1897"/>
      <c r="EZ646" s="1897"/>
      <c r="FA646" s="1897"/>
    </row>
    <row r="647" spans="1:157" ht="12.75">
      <c r="B647" s="84" t="s">
        <v>374</v>
      </c>
      <c r="C647" s="1958"/>
      <c r="D647" s="1958"/>
      <c r="E647" s="1958"/>
      <c r="F647" s="1958"/>
      <c r="G647" s="1958"/>
      <c r="H647" s="1958"/>
      <c r="I647" s="1958"/>
      <c r="J647" s="1958"/>
      <c r="K647" s="1958"/>
      <c r="L647" s="1958"/>
      <c r="M647" s="1958"/>
      <c r="N647" s="1959"/>
      <c r="O647" s="1926"/>
      <c r="P647" s="1927"/>
      <c r="Q647" s="1928"/>
      <c r="R647" s="1926"/>
      <c r="S647" s="1927"/>
      <c r="T647" s="1928"/>
      <c r="U647" s="1939"/>
      <c r="V647" s="1940"/>
      <c r="W647" s="1941"/>
      <c r="X647" s="1936" t="s">
        <v>1388</v>
      </c>
      <c r="Y647" s="1937"/>
      <c r="Z647" s="1937"/>
      <c r="AA647" s="1937"/>
      <c r="AB647" s="1938"/>
      <c r="AC647" s="2158"/>
      <c r="AD647" s="2159"/>
      <c r="AE647" s="2160"/>
      <c r="AF647" s="2112"/>
      <c r="AG647" s="2113"/>
      <c r="AH647" s="2113"/>
      <c r="AI647" s="2113"/>
      <c r="AJ647" s="2114"/>
      <c r="AK647" s="2177"/>
      <c r="AL647" s="2178"/>
      <c r="AM647" s="2178"/>
      <c r="AN647" s="2179"/>
      <c r="AO647" s="2168"/>
      <c r="AP647" s="2168"/>
      <c r="AQ647" s="2168"/>
      <c r="AR647" s="2168"/>
      <c r="AS647" s="216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2480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897" t="e">
        <f t="shared" si="22"/>
        <v>#VALUE!</v>
      </c>
      <c r="DY647" s="1897"/>
      <c r="DZ647" s="1897"/>
      <c r="EA647" s="1897"/>
      <c r="EB647" s="1897"/>
      <c r="EC647" s="1897" t="e">
        <f t="shared" si="23"/>
        <v>#VALUE!</v>
      </c>
      <c r="ED647" s="1897"/>
      <c r="EE647" s="1897"/>
      <c r="EF647" s="1897"/>
      <c r="EG647" s="1897"/>
      <c r="EH647" s="1897" t="e">
        <f t="shared" si="24"/>
        <v>#VALUE!</v>
      </c>
      <c r="EI647" s="1897"/>
      <c r="EJ647" s="1897"/>
      <c r="EK647" s="1897"/>
      <c r="EL647" s="1897"/>
      <c r="EM647" s="1897">
        <f t="shared" si="25"/>
        <v>368.41935483870969</v>
      </c>
      <c r="EN647" s="1897"/>
      <c r="EO647" s="1897"/>
      <c r="EP647" s="1897"/>
      <c r="EQ647" s="1897"/>
      <c r="ER647" s="1897" t="e">
        <f t="shared" si="26"/>
        <v>#VALUE!</v>
      </c>
      <c r="ES647" s="1897"/>
      <c r="ET647" s="1897"/>
      <c r="EU647" s="1897"/>
      <c r="EV647" s="1897"/>
      <c r="EW647" s="1897" t="e">
        <f t="shared" si="27"/>
        <v>#VALUE!</v>
      </c>
      <c r="EX647" s="1897"/>
      <c r="EY647" s="1897"/>
      <c r="EZ647" s="1897"/>
      <c r="FA647" s="1897"/>
    </row>
    <row r="648" spans="1:157" ht="12.75">
      <c r="B648" s="84" t="s">
        <v>375</v>
      </c>
      <c r="C648" s="1958"/>
      <c r="D648" s="1958"/>
      <c r="E648" s="1958"/>
      <c r="F648" s="1958"/>
      <c r="G648" s="1958"/>
      <c r="H648" s="1958"/>
      <c r="I648" s="1958"/>
      <c r="J648" s="1958"/>
      <c r="K648" s="1958"/>
      <c r="L648" s="1958"/>
      <c r="M648" s="1958"/>
      <c r="N648" s="1959"/>
      <c r="O648" s="1926"/>
      <c r="P648" s="1927"/>
      <c r="Q648" s="1928"/>
      <c r="R648" s="1926"/>
      <c r="S648" s="1927"/>
      <c r="T648" s="1928"/>
      <c r="U648" s="1939"/>
      <c r="V648" s="1940"/>
      <c r="W648" s="1941"/>
      <c r="X648" s="1936" t="s">
        <v>1388</v>
      </c>
      <c r="Y648" s="1937"/>
      <c r="Z648" s="1937"/>
      <c r="AA648" s="1937"/>
      <c r="AB648" s="1938"/>
      <c r="AC648" s="2158"/>
      <c r="AD648" s="2159"/>
      <c r="AE648" s="2160"/>
      <c r="AF648" s="2112"/>
      <c r="AG648" s="2113"/>
      <c r="AH648" s="2113"/>
      <c r="AI648" s="2113"/>
      <c r="AJ648" s="2114"/>
      <c r="AK648" s="2177"/>
      <c r="AL648" s="2178"/>
      <c r="AM648" s="2178"/>
      <c r="AN648" s="2179"/>
      <c r="AO648" s="2168"/>
      <c r="AP648" s="2168"/>
      <c r="AQ648" s="2168"/>
      <c r="AR648" s="2168"/>
      <c r="AS648" s="2168"/>
      <c r="AT648" s="239"/>
      <c r="AU648" s="239"/>
      <c r="AV648" s="239"/>
      <c r="AW648" s="239"/>
      <c r="AX648" s="239"/>
      <c r="AY648" s="239"/>
      <c r="AZ648" s="58"/>
      <c r="BA648" s="58"/>
      <c r="BB648" s="58"/>
      <c r="BC648" s="58"/>
      <c r="BD648" s="58"/>
      <c r="BE648" s="58"/>
      <c r="BF648" s="58"/>
      <c r="BG648" s="58"/>
      <c r="BH648" s="58"/>
      <c r="BI648" s="58"/>
      <c r="BJ648" s="58"/>
      <c r="BK648" s="58"/>
      <c r="BL648" s="58"/>
      <c r="BM648" s="58"/>
      <c r="BN648" s="1902">
        <f t="shared" ref="BN648:BN657" si="28">IF(J786="SRO/Studio",O786,0)</f>
        <v>0</v>
      </c>
      <c r="BO648" s="1903"/>
      <c r="BP648" s="1903"/>
      <c r="BQ648" s="1903"/>
      <c r="BR648" s="1904"/>
      <c r="BS648" s="1901">
        <f t="shared" ref="BS648:BS657" si="29">IF(J786="1 Bedroom",O786,0)</f>
        <v>0</v>
      </c>
      <c r="BT648" s="1901"/>
      <c r="BU648" s="1901"/>
      <c r="BV648" s="1901"/>
      <c r="BW648" s="1901"/>
      <c r="BX648" s="1901">
        <f t="shared" ref="BX648:BX657" si="30">IF(J786="2 Bedrooms",O786,0)</f>
        <v>0</v>
      </c>
      <c r="BY648" s="1901"/>
      <c r="BZ648" s="1901"/>
      <c r="CA648" s="1901"/>
      <c r="CB648" s="1901"/>
      <c r="CC648" s="1901">
        <f t="shared" ref="CC648:CC657" si="31">IF(J786="3 Bedrooms",O786,0)</f>
        <v>0</v>
      </c>
      <c r="CD648" s="1901"/>
      <c r="CE648" s="1901"/>
      <c r="CF648" s="1901"/>
      <c r="CG648" s="1901"/>
      <c r="CH648" s="1901">
        <f t="shared" ref="CH648:CH657" si="32">IF(J786="4 Bedrooms",O786,0)</f>
        <v>0</v>
      </c>
      <c r="CI648" s="1901"/>
      <c r="CJ648" s="1901"/>
      <c r="CK648" s="1901"/>
      <c r="CL648" s="1901"/>
      <c r="CM648" s="1901">
        <f t="shared" ref="CM648:CM657" si="33">IF(J786="5 Bedrooms",O786,0)</f>
        <v>0</v>
      </c>
      <c r="CN648" s="1901"/>
      <c r="CO648" s="1901"/>
      <c r="CP648" s="1901"/>
      <c r="CQ648" s="1901"/>
      <c r="CR648" s="265"/>
      <c r="CS648" s="1898">
        <f>IF(AND(BN648&gt;=1,AH786&gt;=0.1,AH786&lt;=1),O786,0)</f>
        <v>0</v>
      </c>
      <c r="CT648" s="1899"/>
      <c r="CU648" s="1899"/>
      <c r="CV648" s="1899"/>
      <c r="CW648" s="1900"/>
      <c r="CX648" s="1898">
        <f>IF(AND(BS648&gt;=1,AH786&gt;=0.1,AH786&lt;=1),O786,0)</f>
        <v>0</v>
      </c>
      <c r="CY648" s="1899"/>
      <c r="CZ648" s="1899"/>
      <c r="DA648" s="1899"/>
      <c r="DB648" s="1900"/>
      <c r="DC648" s="1898">
        <f>IF(AND(BX648&gt;=1,AH786&gt;=0.1,AH786&lt;=1),O786,0)</f>
        <v>0</v>
      </c>
      <c r="DD648" s="1899"/>
      <c r="DE648" s="1899"/>
      <c r="DF648" s="1899"/>
      <c r="DG648" s="1900"/>
      <c r="DH648" s="1898">
        <f>IF(AND(CC648&gt;=1,AH786&gt;=0.1,AH786&lt;=1),O786,0)</f>
        <v>0</v>
      </c>
      <c r="DI648" s="1899"/>
      <c r="DJ648" s="1899"/>
      <c r="DK648" s="1899"/>
      <c r="DL648" s="1900"/>
      <c r="DM648" s="1898">
        <f>IF(AND(CH648&gt;=1,AH786&gt;=0.1,AH786&lt;=1),O786,0)</f>
        <v>0</v>
      </c>
      <c r="DN648" s="1899"/>
      <c r="DO648" s="1899"/>
      <c r="DP648" s="1899"/>
      <c r="DQ648" s="1900"/>
      <c r="DR648" s="1898">
        <f>IF(AND(CM648&gt;=1,AH786&gt;=0.1,AH786&lt;=1),O786,0)</f>
        <v>0</v>
      </c>
      <c r="DS648" s="1899"/>
      <c r="DT648" s="1899"/>
      <c r="DU648" s="1899"/>
      <c r="DV648" s="1900"/>
      <c r="DX648" s="1897" t="e">
        <f t="shared" si="22"/>
        <v>#VALUE!</v>
      </c>
      <c r="DY648" s="1897"/>
      <c r="DZ648" s="1897"/>
      <c r="EA648" s="1897"/>
      <c r="EB648" s="1897"/>
      <c r="EC648" s="1897" t="e">
        <f t="shared" si="23"/>
        <v>#VALUE!</v>
      </c>
      <c r="ED648" s="1897"/>
      <c r="EE648" s="1897"/>
      <c r="EF648" s="1897"/>
      <c r="EG648" s="1897"/>
      <c r="EH648" s="1897" t="e">
        <f t="shared" si="24"/>
        <v>#VALUE!</v>
      </c>
      <c r="EI648" s="1897"/>
      <c r="EJ648" s="1897"/>
      <c r="EK648" s="1897"/>
      <c r="EL648" s="1897"/>
      <c r="EM648" s="1897">
        <f t="shared" si="25"/>
        <v>514.74193548387098</v>
      </c>
      <c r="EN648" s="1897"/>
      <c r="EO648" s="1897"/>
      <c r="EP648" s="1897"/>
      <c r="EQ648" s="1897"/>
      <c r="ER648" s="1897" t="e">
        <f t="shared" si="26"/>
        <v>#VALUE!</v>
      </c>
      <c r="ES648" s="1897"/>
      <c r="ET648" s="1897"/>
      <c r="EU648" s="1897"/>
      <c r="EV648" s="1897"/>
      <c r="EW648" s="1897" t="e">
        <f t="shared" si="27"/>
        <v>#VALUE!</v>
      </c>
      <c r="EX648" s="1897"/>
      <c r="EY648" s="1897"/>
      <c r="EZ648" s="1897"/>
      <c r="FA648" s="1897"/>
    </row>
    <row r="649" spans="1:157" ht="12.75">
      <c r="B649" s="2121" t="s">
        <v>133</v>
      </c>
      <c r="C649" s="2122"/>
      <c r="D649" s="2122"/>
      <c r="E649" s="2122"/>
      <c r="F649" s="2122"/>
      <c r="G649" s="2122"/>
      <c r="H649" s="2122"/>
      <c r="I649" s="2122"/>
      <c r="J649" s="2122"/>
      <c r="K649" s="2122"/>
      <c r="L649" s="2122"/>
      <c r="M649" s="2122"/>
      <c r="N649" s="2122"/>
      <c r="O649" s="2122"/>
      <c r="P649" s="2122"/>
      <c r="Q649" s="2122"/>
      <c r="R649" s="2122"/>
      <c r="S649" s="2122"/>
      <c r="T649" s="2122"/>
      <c r="U649" s="2122"/>
      <c r="V649" s="2122"/>
      <c r="W649" s="2122"/>
      <c r="X649" s="2122"/>
      <c r="Y649" s="2122"/>
      <c r="Z649" s="2122"/>
      <c r="AA649" s="2122"/>
      <c r="AB649" s="2122"/>
      <c r="AC649" s="2122"/>
      <c r="AD649" s="2122"/>
      <c r="AE649" s="2122"/>
      <c r="AF649" s="2122"/>
      <c r="AG649" s="2122"/>
      <c r="AH649" s="2122"/>
      <c r="AI649" s="2122"/>
      <c r="AJ649" s="2122"/>
      <c r="AK649" s="2122"/>
      <c r="AL649" s="2122"/>
      <c r="AM649" s="2122"/>
      <c r="AN649" s="2123"/>
      <c r="AO649" s="1914">
        <f>SUM(AO637:AR648)</f>
        <v>26147252.014939837</v>
      </c>
      <c r="AP649" s="1915"/>
      <c r="AQ649" s="1915"/>
      <c r="AR649" s="1915"/>
      <c r="AS649" s="1916"/>
      <c r="AZ649" s="58"/>
      <c r="BA649" s="58"/>
      <c r="BB649" s="58"/>
      <c r="BC649" s="58"/>
      <c r="BD649" s="58"/>
      <c r="BE649" s="58"/>
      <c r="BF649" s="58"/>
      <c r="BG649" s="58"/>
      <c r="BH649" s="58"/>
      <c r="BI649" s="58"/>
      <c r="BJ649" s="58"/>
      <c r="BK649" s="58"/>
      <c r="BL649" s="58"/>
      <c r="BM649" s="58"/>
      <c r="BN649" s="1902">
        <f t="shared" si="28"/>
        <v>0</v>
      </c>
      <c r="BO649" s="1903"/>
      <c r="BP649" s="1903"/>
      <c r="BQ649" s="1903"/>
      <c r="BR649" s="1904"/>
      <c r="BS649" s="1901">
        <f t="shared" si="29"/>
        <v>0</v>
      </c>
      <c r="BT649" s="1901"/>
      <c r="BU649" s="1901"/>
      <c r="BV649" s="1901"/>
      <c r="BW649" s="1901"/>
      <c r="BX649" s="1901">
        <f t="shared" si="30"/>
        <v>0</v>
      </c>
      <c r="BY649" s="1901"/>
      <c r="BZ649" s="1901"/>
      <c r="CA649" s="1901"/>
      <c r="CB649" s="1901"/>
      <c r="CC649" s="1901">
        <f t="shared" si="31"/>
        <v>0</v>
      </c>
      <c r="CD649" s="1901"/>
      <c r="CE649" s="1901"/>
      <c r="CF649" s="1901"/>
      <c r="CG649" s="1901"/>
      <c r="CH649" s="1901">
        <f t="shared" si="32"/>
        <v>0</v>
      </c>
      <c r="CI649" s="1901"/>
      <c r="CJ649" s="1901"/>
      <c r="CK649" s="1901"/>
      <c r="CL649" s="1901"/>
      <c r="CM649" s="1901">
        <f t="shared" si="33"/>
        <v>0</v>
      </c>
      <c r="CN649" s="1901"/>
      <c r="CO649" s="1901"/>
      <c r="CP649" s="1901"/>
      <c r="CQ649" s="1901"/>
      <c r="CR649" s="265"/>
      <c r="CS649" s="1898">
        <f t="shared" ref="CS649:CS657" si="34">IF(AND(BN649&gt;=1,AH787&gt;=0.1,AH787&lt;=1),O787,0)</f>
        <v>0</v>
      </c>
      <c r="CT649" s="1899"/>
      <c r="CU649" s="1899"/>
      <c r="CV649" s="1899"/>
      <c r="CW649" s="1900"/>
      <c r="CX649" s="1898">
        <f t="shared" ref="CX649:CX657" si="35">IF(AND(BS649&gt;=1,AH787&gt;=0.1,AH787&lt;=1),O787,0)</f>
        <v>0</v>
      </c>
      <c r="CY649" s="1899"/>
      <c r="CZ649" s="1899"/>
      <c r="DA649" s="1899"/>
      <c r="DB649" s="1900"/>
      <c r="DC649" s="1898">
        <f t="shared" ref="DC649:DC657" si="36">IF(AND(BX649&gt;=1,AH787&gt;=0.1,AH787&lt;=1),O787,0)</f>
        <v>0</v>
      </c>
      <c r="DD649" s="1899"/>
      <c r="DE649" s="1899"/>
      <c r="DF649" s="1899"/>
      <c r="DG649" s="1900"/>
      <c r="DH649" s="1898">
        <f t="shared" ref="DH649:DH657" si="37">IF(AND(CC649&gt;=1,AH787&gt;=0.1,AH787&lt;=1),O787,0)</f>
        <v>0</v>
      </c>
      <c r="DI649" s="1899"/>
      <c r="DJ649" s="1899"/>
      <c r="DK649" s="1899"/>
      <c r="DL649" s="1900"/>
      <c r="DM649" s="1898">
        <f t="shared" ref="DM649:DM657" si="38">IF(AND(CH649&gt;=1,AH787&gt;=0.1,AH787&lt;=1),O787,0)</f>
        <v>0</v>
      </c>
      <c r="DN649" s="1899"/>
      <c r="DO649" s="1899"/>
      <c r="DP649" s="1899"/>
      <c r="DQ649" s="1900"/>
      <c r="DR649" s="1898">
        <f t="shared" ref="DR649:DR657" si="39">IF(AND(CM649&gt;=1,AH787&gt;=0.1,AH787&lt;=1),O787,0)</f>
        <v>0</v>
      </c>
      <c r="DS649" s="1899"/>
      <c r="DT649" s="1899"/>
      <c r="DU649" s="1899"/>
      <c r="DV649" s="1900"/>
      <c r="DX649" s="1897" t="e">
        <f t="shared" si="22"/>
        <v>#VALUE!</v>
      </c>
      <c r="DY649" s="1897"/>
      <c r="DZ649" s="1897"/>
      <c r="EA649" s="1897"/>
      <c r="EB649" s="1897"/>
      <c r="EC649" s="1897" t="e">
        <f t="shared" si="23"/>
        <v>#VALUE!</v>
      </c>
      <c r="ED649" s="1897"/>
      <c r="EE649" s="1897"/>
      <c r="EF649" s="1897"/>
      <c r="EG649" s="1897"/>
      <c r="EH649" s="1897" t="e">
        <f t="shared" si="24"/>
        <v>#VALUE!</v>
      </c>
      <c r="EI649" s="1897"/>
      <c r="EJ649" s="1897"/>
      <c r="EK649" s="1897"/>
      <c r="EL649" s="1897"/>
      <c r="EM649" s="1897" t="e">
        <f t="shared" si="25"/>
        <v>#VALUE!</v>
      </c>
      <c r="EN649" s="1897"/>
      <c r="EO649" s="1897"/>
      <c r="EP649" s="1897"/>
      <c r="EQ649" s="1897"/>
      <c r="ER649" s="1897" t="e">
        <f t="shared" si="26"/>
        <v>#VALUE!</v>
      </c>
      <c r="ES649" s="1897"/>
      <c r="ET649" s="1897"/>
      <c r="EU649" s="1897"/>
      <c r="EV649" s="1897"/>
      <c r="EW649" s="1897" t="e">
        <f t="shared" si="27"/>
        <v>#VALUE!</v>
      </c>
      <c r="EX649" s="1897"/>
      <c r="EY649" s="1897"/>
      <c r="EZ649" s="1897"/>
      <c r="FA649" s="1897"/>
    </row>
    <row r="650" spans="1:157" ht="12.75" customHeight="1">
      <c r="B650" s="2121" t="s">
        <v>275</v>
      </c>
      <c r="C650" s="2122"/>
      <c r="D650" s="2122"/>
      <c r="E650" s="2122"/>
      <c r="F650" s="2122"/>
      <c r="G650" s="2122"/>
      <c r="H650" s="2122"/>
      <c r="I650" s="2122"/>
      <c r="J650" s="2122"/>
      <c r="K650" s="2122"/>
      <c r="L650" s="2122"/>
      <c r="M650" s="2122"/>
      <c r="N650" s="2122"/>
      <c r="O650" s="2122"/>
      <c r="P650" s="2122"/>
      <c r="Q650" s="2122"/>
      <c r="R650" s="2122"/>
      <c r="S650" s="2122"/>
      <c r="T650" s="2122"/>
      <c r="U650" s="2122"/>
      <c r="V650" s="2122"/>
      <c r="W650" s="2122"/>
      <c r="X650" s="2122"/>
      <c r="Y650" s="2122"/>
      <c r="Z650" s="2122"/>
      <c r="AA650" s="2122"/>
      <c r="AB650" s="2122"/>
      <c r="AC650" s="2122"/>
      <c r="AD650" s="2122"/>
      <c r="AE650" s="2122"/>
      <c r="AF650" s="2122"/>
      <c r="AG650" s="2122"/>
      <c r="AH650" s="2122"/>
      <c r="AI650" s="2122"/>
      <c r="AJ650" s="2122"/>
      <c r="AK650" s="2122"/>
      <c r="AL650" s="2122"/>
      <c r="AM650" s="2122"/>
      <c r="AN650" s="2123"/>
      <c r="AO650" s="2168">
        <f>'[9]main spreadsheet'!$BO$18-'[9]main spreadsheet'!$BO$55-'[9]main spreadsheet'!$BO$57-'[9]main spreadsheet'!$BO$61-'[9]main spreadsheet'!$BO$63-AO644</f>
        <v>19217382.17237268</v>
      </c>
      <c r="AP650" s="2168"/>
      <c r="AQ650" s="2168"/>
      <c r="AR650" s="2168"/>
      <c r="AS650" s="2168"/>
      <c r="AZ650" s="61"/>
      <c r="BA650" s="61"/>
      <c r="BB650" s="61"/>
      <c r="BC650" s="61"/>
      <c r="BD650" s="61"/>
      <c r="BE650" s="61"/>
      <c r="BF650" s="61"/>
      <c r="BG650" s="61"/>
      <c r="BH650" s="61"/>
      <c r="BI650" s="61"/>
      <c r="BJ650" s="61"/>
      <c r="BK650" s="61"/>
      <c r="BL650" s="61"/>
      <c r="BM650" s="61"/>
      <c r="BN650" s="1902">
        <f t="shared" si="28"/>
        <v>0</v>
      </c>
      <c r="BO650" s="1903"/>
      <c r="BP650" s="1903"/>
      <c r="BQ650" s="1903"/>
      <c r="BR650" s="1904"/>
      <c r="BS650" s="1901">
        <f t="shared" si="29"/>
        <v>0</v>
      </c>
      <c r="BT650" s="1901"/>
      <c r="BU650" s="1901"/>
      <c r="BV650" s="1901"/>
      <c r="BW650" s="1901"/>
      <c r="BX650" s="1901">
        <f t="shared" si="30"/>
        <v>0</v>
      </c>
      <c r="BY650" s="1901"/>
      <c r="BZ650" s="1901"/>
      <c r="CA650" s="1901"/>
      <c r="CB650" s="1901"/>
      <c r="CC650" s="1901">
        <f t="shared" si="31"/>
        <v>0</v>
      </c>
      <c r="CD650" s="1901"/>
      <c r="CE650" s="1901"/>
      <c r="CF650" s="1901"/>
      <c r="CG650" s="1901"/>
      <c r="CH650" s="1901">
        <f t="shared" si="32"/>
        <v>0</v>
      </c>
      <c r="CI650" s="1901"/>
      <c r="CJ650" s="1901"/>
      <c r="CK650" s="1901"/>
      <c r="CL650" s="1901"/>
      <c r="CM650" s="1901">
        <f t="shared" si="33"/>
        <v>0</v>
      </c>
      <c r="CN650" s="1901"/>
      <c r="CO650" s="1901"/>
      <c r="CP650" s="1901"/>
      <c r="CQ650" s="1901"/>
      <c r="CR650" s="265"/>
      <c r="CS650" s="1898">
        <f t="shared" si="34"/>
        <v>0</v>
      </c>
      <c r="CT650" s="1899"/>
      <c r="CU650" s="1899"/>
      <c r="CV650" s="1899"/>
      <c r="CW650" s="1900"/>
      <c r="CX650" s="1898">
        <f t="shared" si="35"/>
        <v>0</v>
      </c>
      <c r="CY650" s="1899"/>
      <c r="CZ650" s="1899"/>
      <c r="DA650" s="1899"/>
      <c r="DB650" s="1900"/>
      <c r="DC650" s="1898">
        <f t="shared" si="36"/>
        <v>0</v>
      </c>
      <c r="DD650" s="1899"/>
      <c r="DE650" s="1899"/>
      <c r="DF650" s="1899"/>
      <c r="DG650" s="1900"/>
      <c r="DH650" s="1898">
        <f t="shared" si="37"/>
        <v>0</v>
      </c>
      <c r="DI650" s="1899"/>
      <c r="DJ650" s="1899"/>
      <c r="DK650" s="1899"/>
      <c r="DL650" s="1900"/>
      <c r="DM650" s="1898">
        <f t="shared" si="38"/>
        <v>0</v>
      </c>
      <c r="DN650" s="1899"/>
      <c r="DO650" s="1899"/>
      <c r="DP650" s="1899"/>
      <c r="DQ650" s="1900"/>
      <c r="DR650" s="1898">
        <f t="shared" si="39"/>
        <v>0</v>
      </c>
      <c r="DS650" s="1899"/>
      <c r="DT650" s="1899"/>
      <c r="DU650" s="1899"/>
      <c r="DV650" s="1900"/>
      <c r="DX650" s="1897" t="e">
        <f t="shared" si="22"/>
        <v>#VALUE!</v>
      </c>
      <c r="DY650" s="1897"/>
      <c r="DZ650" s="1897"/>
      <c r="EA650" s="1897"/>
      <c r="EB650" s="1897"/>
      <c r="EC650" s="1897" t="e">
        <f t="shared" si="23"/>
        <v>#VALUE!</v>
      </c>
      <c r="ED650" s="1897"/>
      <c r="EE650" s="1897"/>
      <c r="EF650" s="1897"/>
      <c r="EG650" s="1897"/>
      <c r="EH650" s="1897" t="e">
        <f t="shared" si="24"/>
        <v>#VALUE!</v>
      </c>
      <c r="EI650" s="1897"/>
      <c r="EJ650" s="1897"/>
      <c r="EK650" s="1897"/>
      <c r="EL650" s="1897"/>
      <c r="EM650" s="1897" t="e">
        <f t="shared" si="25"/>
        <v>#VALUE!</v>
      </c>
      <c r="EN650" s="1897"/>
      <c r="EO650" s="1897"/>
      <c r="EP650" s="1897"/>
      <c r="EQ650" s="1897"/>
      <c r="ER650" s="1897" t="e">
        <f t="shared" si="26"/>
        <v>#VALUE!</v>
      </c>
      <c r="ES650" s="1897"/>
      <c r="ET650" s="1897"/>
      <c r="EU650" s="1897"/>
      <c r="EV650" s="1897"/>
      <c r="EW650" s="1897" t="e">
        <f t="shared" si="27"/>
        <v>#VALUE!</v>
      </c>
      <c r="EX650" s="1897"/>
      <c r="EY650" s="1897"/>
      <c r="EZ650" s="1897"/>
      <c r="FA650" s="1897"/>
    </row>
    <row r="651" spans="1:157" ht="12.75" customHeight="1">
      <c r="B651" s="2280" t="s">
        <v>276</v>
      </c>
      <c r="C651" s="2281"/>
      <c r="D651" s="2281"/>
      <c r="E651" s="2281"/>
      <c r="F651" s="2281"/>
      <c r="G651" s="2281"/>
      <c r="H651" s="2281"/>
      <c r="I651" s="2281"/>
      <c r="J651" s="2281"/>
      <c r="K651" s="2281"/>
      <c r="L651" s="2281"/>
      <c r="M651" s="2281"/>
      <c r="N651" s="2281"/>
      <c r="O651" s="2281"/>
      <c r="P651" s="2281"/>
      <c r="Q651" s="2281"/>
      <c r="R651" s="2281"/>
      <c r="S651" s="2281"/>
      <c r="T651" s="2281"/>
      <c r="U651" s="2281"/>
      <c r="V651" s="2281"/>
      <c r="W651" s="2281"/>
      <c r="X651" s="2281"/>
      <c r="Y651" s="2281"/>
      <c r="Z651" s="2281"/>
      <c r="AA651" s="2281"/>
      <c r="AB651" s="2281"/>
      <c r="AC651" s="2281"/>
      <c r="AD651" s="2281"/>
      <c r="AE651" s="2281"/>
      <c r="AF651" s="2281"/>
      <c r="AG651" s="2281"/>
      <c r="AH651" s="2281"/>
      <c r="AI651" s="2281"/>
      <c r="AJ651" s="2281"/>
      <c r="AK651" s="2281"/>
      <c r="AL651" s="2281"/>
      <c r="AM651" s="2281"/>
      <c r="AN651" s="2282"/>
      <c r="AO651" s="1914">
        <f>AO649+AO650</f>
        <v>45364634.187312514</v>
      </c>
      <c r="AP651" s="1915"/>
      <c r="AQ651" s="1915"/>
      <c r="AR651" s="1915"/>
      <c r="AS651" s="1916"/>
      <c r="AZ651" s="61"/>
      <c r="BA651" s="61"/>
      <c r="BB651" s="61"/>
      <c r="BC651" s="61"/>
      <c r="BD651" s="61"/>
      <c r="BE651" s="61"/>
      <c r="BF651" s="61"/>
      <c r="BG651" s="61"/>
      <c r="BH651" s="61"/>
      <c r="BI651" s="61"/>
      <c r="BJ651" s="61"/>
      <c r="BK651" s="61"/>
      <c r="BL651" s="61"/>
      <c r="BM651" s="61"/>
      <c r="BN651" s="1902">
        <f t="shared" si="28"/>
        <v>0</v>
      </c>
      <c r="BO651" s="1903"/>
      <c r="BP651" s="1903"/>
      <c r="BQ651" s="1903"/>
      <c r="BR651" s="1904"/>
      <c r="BS651" s="1901">
        <f t="shared" si="29"/>
        <v>0</v>
      </c>
      <c r="BT651" s="1901"/>
      <c r="BU651" s="1901"/>
      <c r="BV651" s="1901"/>
      <c r="BW651" s="1901"/>
      <c r="BX651" s="1901">
        <f t="shared" si="30"/>
        <v>0</v>
      </c>
      <c r="BY651" s="1901"/>
      <c r="BZ651" s="1901"/>
      <c r="CA651" s="1901"/>
      <c r="CB651" s="1901"/>
      <c r="CC651" s="1901">
        <f t="shared" si="31"/>
        <v>0</v>
      </c>
      <c r="CD651" s="1901"/>
      <c r="CE651" s="1901"/>
      <c r="CF651" s="1901"/>
      <c r="CG651" s="1901"/>
      <c r="CH651" s="1901">
        <f t="shared" si="32"/>
        <v>0</v>
      </c>
      <c r="CI651" s="1901"/>
      <c r="CJ651" s="1901"/>
      <c r="CK651" s="1901"/>
      <c r="CL651" s="1901"/>
      <c r="CM651" s="1901">
        <f t="shared" si="33"/>
        <v>0</v>
      </c>
      <c r="CN651" s="1901"/>
      <c r="CO651" s="1901"/>
      <c r="CP651" s="1901"/>
      <c r="CQ651" s="1901"/>
      <c r="CR651" s="265"/>
      <c r="CS651" s="1898">
        <f t="shared" si="34"/>
        <v>0</v>
      </c>
      <c r="CT651" s="1899"/>
      <c r="CU651" s="1899"/>
      <c r="CV651" s="1899"/>
      <c r="CW651" s="1900"/>
      <c r="CX651" s="1898">
        <f t="shared" si="35"/>
        <v>0</v>
      </c>
      <c r="CY651" s="1899"/>
      <c r="CZ651" s="1899"/>
      <c r="DA651" s="1899"/>
      <c r="DB651" s="1900"/>
      <c r="DC651" s="1898">
        <f t="shared" si="36"/>
        <v>0</v>
      </c>
      <c r="DD651" s="1899"/>
      <c r="DE651" s="1899"/>
      <c r="DF651" s="1899"/>
      <c r="DG651" s="1900"/>
      <c r="DH651" s="1898">
        <f t="shared" si="37"/>
        <v>0</v>
      </c>
      <c r="DI651" s="1899"/>
      <c r="DJ651" s="1899"/>
      <c r="DK651" s="1899"/>
      <c r="DL651" s="1900"/>
      <c r="DM651" s="1898">
        <f t="shared" si="38"/>
        <v>0</v>
      </c>
      <c r="DN651" s="1899"/>
      <c r="DO651" s="1899"/>
      <c r="DP651" s="1899"/>
      <c r="DQ651" s="1900"/>
      <c r="DR651" s="1898">
        <f t="shared" si="39"/>
        <v>0</v>
      </c>
      <c r="DS651" s="1899"/>
      <c r="DT651" s="1899"/>
      <c r="DU651" s="1899"/>
      <c r="DV651" s="1900"/>
      <c r="DX651" s="1897" t="e">
        <f t="shared" si="22"/>
        <v>#VALUE!</v>
      </c>
      <c r="DY651" s="1897"/>
      <c r="DZ651" s="1897"/>
      <c r="EA651" s="1897"/>
      <c r="EB651" s="1897"/>
      <c r="EC651" s="1897" t="e">
        <f t="shared" si="23"/>
        <v>#VALUE!</v>
      </c>
      <c r="ED651" s="1897"/>
      <c r="EE651" s="1897"/>
      <c r="EF651" s="1897"/>
      <c r="EG651" s="1897"/>
      <c r="EH651" s="1897" t="e">
        <f t="shared" si="24"/>
        <v>#VALUE!</v>
      </c>
      <c r="EI651" s="1897"/>
      <c r="EJ651" s="1897"/>
      <c r="EK651" s="1897"/>
      <c r="EL651" s="1897"/>
      <c r="EM651" s="1897" t="e">
        <f t="shared" si="25"/>
        <v>#VALUE!</v>
      </c>
      <c r="EN651" s="1897"/>
      <c r="EO651" s="1897"/>
      <c r="EP651" s="1897"/>
      <c r="EQ651" s="1897"/>
      <c r="ER651" s="1897" t="e">
        <f t="shared" si="26"/>
        <v>#VALUE!</v>
      </c>
      <c r="ES651" s="1897"/>
      <c r="ET651" s="1897"/>
      <c r="EU651" s="1897"/>
      <c r="EV651" s="1897"/>
      <c r="EW651" s="1897" t="e">
        <f t="shared" si="27"/>
        <v>#VALUE!</v>
      </c>
      <c r="EX651" s="1897"/>
      <c r="EY651" s="1897"/>
      <c r="EZ651" s="1897"/>
      <c r="FA651" s="1897"/>
    </row>
    <row r="652" spans="1:157" ht="12.75">
      <c r="A652" s="25"/>
      <c r="B652" s="845"/>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02">
        <f t="shared" si="28"/>
        <v>0</v>
      </c>
      <c r="BO652" s="1903"/>
      <c r="BP652" s="1903"/>
      <c r="BQ652" s="1903"/>
      <c r="BR652" s="1904"/>
      <c r="BS652" s="1901">
        <f t="shared" si="29"/>
        <v>0</v>
      </c>
      <c r="BT652" s="1901"/>
      <c r="BU652" s="1901"/>
      <c r="BV652" s="1901"/>
      <c r="BW652" s="1901"/>
      <c r="BX652" s="1901">
        <f t="shared" si="30"/>
        <v>0</v>
      </c>
      <c r="BY652" s="1901"/>
      <c r="BZ652" s="1901"/>
      <c r="CA652" s="1901"/>
      <c r="CB652" s="1901"/>
      <c r="CC652" s="1901">
        <f t="shared" si="31"/>
        <v>0</v>
      </c>
      <c r="CD652" s="1901"/>
      <c r="CE652" s="1901"/>
      <c r="CF652" s="1901"/>
      <c r="CG652" s="1901"/>
      <c r="CH652" s="1901">
        <f t="shared" si="32"/>
        <v>0</v>
      </c>
      <c r="CI652" s="1901"/>
      <c r="CJ652" s="1901"/>
      <c r="CK652" s="1901"/>
      <c r="CL652" s="1901"/>
      <c r="CM652" s="1901">
        <f t="shared" si="33"/>
        <v>0</v>
      </c>
      <c r="CN652" s="1901"/>
      <c r="CO652" s="1901"/>
      <c r="CP652" s="1901"/>
      <c r="CQ652" s="1901"/>
      <c r="CR652" s="265"/>
      <c r="CS652" s="1898">
        <f t="shared" si="34"/>
        <v>0</v>
      </c>
      <c r="CT652" s="1899"/>
      <c r="CU652" s="1899"/>
      <c r="CV652" s="1899"/>
      <c r="CW652" s="1900"/>
      <c r="CX652" s="1898">
        <f t="shared" si="35"/>
        <v>0</v>
      </c>
      <c r="CY652" s="1899"/>
      <c r="CZ652" s="1899"/>
      <c r="DA652" s="1899"/>
      <c r="DB652" s="1900"/>
      <c r="DC652" s="1898">
        <f t="shared" si="36"/>
        <v>0</v>
      </c>
      <c r="DD652" s="1899"/>
      <c r="DE652" s="1899"/>
      <c r="DF652" s="1899"/>
      <c r="DG652" s="1900"/>
      <c r="DH652" s="1898">
        <f t="shared" si="37"/>
        <v>0</v>
      </c>
      <c r="DI652" s="1899"/>
      <c r="DJ652" s="1899"/>
      <c r="DK652" s="1899"/>
      <c r="DL652" s="1900"/>
      <c r="DM652" s="1898">
        <f t="shared" si="38"/>
        <v>0</v>
      </c>
      <c r="DN652" s="1899"/>
      <c r="DO652" s="1899"/>
      <c r="DP652" s="1899"/>
      <c r="DQ652" s="1900"/>
      <c r="DR652" s="1898">
        <f t="shared" si="39"/>
        <v>0</v>
      </c>
      <c r="DS652" s="1899"/>
      <c r="DT652" s="1899"/>
      <c r="DU652" s="1899"/>
      <c r="DV652" s="1900"/>
      <c r="DX652" s="1897" t="e">
        <f t="shared" si="22"/>
        <v>#VALUE!</v>
      </c>
      <c r="DY652" s="1897"/>
      <c r="DZ652" s="1897"/>
      <c r="EA652" s="1897"/>
      <c r="EB652" s="1897"/>
      <c r="EC652" s="1897" t="e">
        <f t="shared" si="23"/>
        <v>#VALUE!</v>
      </c>
      <c r="ED652" s="1897"/>
      <c r="EE652" s="1897"/>
      <c r="EF652" s="1897"/>
      <c r="EG652" s="1897"/>
      <c r="EH652" s="1897" t="e">
        <f t="shared" si="24"/>
        <v>#VALUE!</v>
      </c>
      <c r="EI652" s="1897"/>
      <c r="EJ652" s="1897"/>
      <c r="EK652" s="1897"/>
      <c r="EL652" s="1897"/>
      <c r="EM652" s="1897" t="e">
        <f t="shared" si="25"/>
        <v>#VALUE!</v>
      </c>
      <c r="EN652" s="1897"/>
      <c r="EO652" s="1897"/>
      <c r="EP652" s="1897"/>
      <c r="EQ652" s="1897"/>
      <c r="ER652" s="1897" t="e">
        <f t="shared" si="26"/>
        <v>#VALUE!</v>
      </c>
      <c r="ES652" s="1897"/>
      <c r="ET652" s="1897"/>
      <c r="EU652" s="1897"/>
      <c r="EV652" s="1897"/>
      <c r="EW652" s="1897" t="e">
        <f t="shared" si="27"/>
        <v>#VALUE!</v>
      </c>
      <c r="EX652" s="1897"/>
      <c r="EY652" s="1897"/>
      <c r="EZ652" s="1897"/>
      <c r="FA652" s="1897"/>
    </row>
    <row r="653" spans="1:157" ht="12.75">
      <c r="A653" s="87" t="s">
        <v>117</v>
      </c>
      <c r="B653" s="12" t="s">
        <v>498</v>
      </c>
      <c r="G653" s="2156" t="str">
        <f>C637</f>
        <v>BellwetherEnterprise - perm loan</v>
      </c>
      <c r="H653" s="2156"/>
      <c r="I653" s="2156"/>
      <c r="J653" s="2156"/>
      <c r="K653" s="2156"/>
      <c r="L653" s="2156"/>
      <c r="M653" s="2156"/>
      <c r="N653" s="2156"/>
      <c r="O653" s="2156"/>
      <c r="P653" s="2156"/>
      <c r="Q653" s="2156"/>
      <c r="R653" s="2156"/>
      <c r="S653" s="14"/>
      <c r="T653" s="87" t="s">
        <v>118</v>
      </c>
      <c r="U653" s="12" t="s">
        <v>498</v>
      </c>
      <c r="Z653" s="2156" t="str">
        <f>C638</f>
        <v>HCD Serna (19-FWHG-14443)</v>
      </c>
      <c r="AA653" s="2156"/>
      <c r="AB653" s="2156"/>
      <c r="AC653" s="2156"/>
      <c r="AD653" s="2156"/>
      <c r="AE653" s="2156"/>
      <c r="AF653" s="2156"/>
      <c r="AG653" s="2156"/>
      <c r="AH653" s="2156"/>
      <c r="AI653" s="2156"/>
      <c r="AJ653" s="2156"/>
      <c r="AK653" s="2156"/>
      <c r="AZ653" s="61"/>
      <c r="BA653" s="61"/>
      <c r="BB653" s="61"/>
      <c r="BC653" s="61"/>
      <c r="BD653" s="61"/>
      <c r="BE653" s="61"/>
      <c r="BF653" s="61"/>
      <c r="BG653" s="61"/>
      <c r="BH653" s="61"/>
      <c r="BI653" s="61"/>
      <c r="BJ653" s="61"/>
      <c r="BK653" s="61"/>
      <c r="BL653" s="61"/>
      <c r="BM653" s="61"/>
      <c r="BN653" s="1902">
        <f t="shared" si="28"/>
        <v>0</v>
      </c>
      <c r="BO653" s="1903"/>
      <c r="BP653" s="1903"/>
      <c r="BQ653" s="1903"/>
      <c r="BR653" s="1904"/>
      <c r="BS653" s="1901">
        <f t="shared" si="29"/>
        <v>0</v>
      </c>
      <c r="BT653" s="1901"/>
      <c r="BU653" s="1901"/>
      <c r="BV653" s="1901"/>
      <c r="BW653" s="1901"/>
      <c r="BX653" s="1901">
        <f t="shared" si="30"/>
        <v>0</v>
      </c>
      <c r="BY653" s="1901"/>
      <c r="BZ653" s="1901"/>
      <c r="CA653" s="1901"/>
      <c r="CB653" s="1901"/>
      <c r="CC653" s="1901">
        <f t="shared" si="31"/>
        <v>0</v>
      </c>
      <c r="CD653" s="1901"/>
      <c r="CE653" s="1901"/>
      <c r="CF653" s="1901"/>
      <c r="CG653" s="1901"/>
      <c r="CH653" s="1901">
        <f t="shared" si="32"/>
        <v>0</v>
      </c>
      <c r="CI653" s="1901"/>
      <c r="CJ653" s="1901"/>
      <c r="CK653" s="1901"/>
      <c r="CL653" s="1901"/>
      <c r="CM653" s="1901">
        <f t="shared" si="33"/>
        <v>0</v>
      </c>
      <c r="CN653" s="1901"/>
      <c r="CO653" s="1901"/>
      <c r="CP653" s="1901"/>
      <c r="CQ653" s="1901"/>
      <c r="CR653" s="265"/>
      <c r="CS653" s="1898">
        <f t="shared" si="34"/>
        <v>0</v>
      </c>
      <c r="CT653" s="1899"/>
      <c r="CU653" s="1899"/>
      <c r="CV653" s="1899"/>
      <c r="CW653" s="1900"/>
      <c r="CX653" s="1898">
        <f t="shared" si="35"/>
        <v>0</v>
      </c>
      <c r="CY653" s="1899"/>
      <c r="CZ653" s="1899"/>
      <c r="DA653" s="1899"/>
      <c r="DB653" s="1900"/>
      <c r="DC653" s="1898">
        <f t="shared" si="36"/>
        <v>0</v>
      </c>
      <c r="DD653" s="1899"/>
      <c r="DE653" s="1899"/>
      <c r="DF653" s="1899"/>
      <c r="DG653" s="1900"/>
      <c r="DH653" s="1898">
        <f t="shared" si="37"/>
        <v>0</v>
      </c>
      <c r="DI653" s="1899"/>
      <c r="DJ653" s="1899"/>
      <c r="DK653" s="1899"/>
      <c r="DL653" s="1900"/>
      <c r="DM653" s="1898">
        <f t="shared" si="38"/>
        <v>0</v>
      </c>
      <c r="DN653" s="1899"/>
      <c r="DO653" s="1899"/>
      <c r="DP653" s="1899"/>
      <c r="DQ653" s="1900"/>
      <c r="DR653" s="1898">
        <f t="shared" si="39"/>
        <v>0</v>
      </c>
      <c r="DS653" s="1899"/>
      <c r="DT653" s="1899"/>
      <c r="DU653" s="1899"/>
      <c r="DV653" s="1900"/>
      <c r="DX653" s="1897" t="e">
        <f t="shared" si="22"/>
        <v>#VALUE!</v>
      </c>
      <c r="DY653" s="1897"/>
      <c r="DZ653" s="1897"/>
      <c r="EA653" s="1897"/>
      <c r="EB653" s="1897"/>
      <c r="EC653" s="1897" t="e">
        <f t="shared" si="23"/>
        <v>#VALUE!</v>
      </c>
      <c r="ED653" s="1897"/>
      <c r="EE653" s="1897"/>
      <c r="EF653" s="1897"/>
      <c r="EG653" s="1897"/>
      <c r="EH653" s="1897" t="e">
        <f t="shared" si="24"/>
        <v>#VALUE!</v>
      </c>
      <c r="EI653" s="1897"/>
      <c r="EJ653" s="1897"/>
      <c r="EK653" s="1897"/>
      <c r="EL653" s="1897"/>
      <c r="EM653" s="1897" t="e">
        <f t="shared" si="25"/>
        <v>#VALUE!</v>
      </c>
      <c r="EN653" s="1897"/>
      <c r="EO653" s="1897"/>
      <c r="EP653" s="1897"/>
      <c r="EQ653" s="1897"/>
      <c r="ER653" s="1897" t="e">
        <f t="shared" si="26"/>
        <v>#VALUE!</v>
      </c>
      <c r="ES653" s="1897"/>
      <c r="ET653" s="1897"/>
      <c r="EU653" s="1897"/>
      <c r="EV653" s="1897"/>
      <c r="EW653" s="1897" t="e">
        <f t="shared" si="27"/>
        <v>#VALUE!</v>
      </c>
      <c r="EX653" s="1897"/>
      <c r="EY653" s="1897"/>
      <c r="EZ653" s="1897"/>
      <c r="FA653" s="1897"/>
    </row>
    <row r="654" spans="1:157" ht="12.75">
      <c r="A654" s="35"/>
      <c r="B654" s="12" t="s">
        <v>90</v>
      </c>
      <c r="G654" s="1934" t="s">
        <v>2614</v>
      </c>
      <c r="H654" s="1935"/>
      <c r="I654" s="1935"/>
      <c r="J654" s="1935"/>
      <c r="K654" s="1935"/>
      <c r="L654" s="1935"/>
      <c r="M654" s="1935"/>
      <c r="N654" s="1935"/>
      <c r="O654" s="1935"/>
      <c r="P654" s="1935"/>
      <c r="Q654" s="1935"/>
      <c r="R654" s="1935"/>
      <c r="S654" s="14"/>
      <c r="T654" s="35"/>
      <c r="U654" s="12" t="s">
        <v>90</v>
      </c>
      <c r="Z654" s="1935" t="s">
        <v>2549</v>
      </c>
      <c r="AA654" s="1935"/>
      <c r="AB654" s="1935"/>
      <c r="AC654" s="1935"/>
      <c r="AD654" s="1935"/>
      <c r="AE654" s="1935"/>
      <c r="AF654" s="1935"/>
      <c r="AG654" s="1935"/>
      <c r="AH654" s="1935"/>
      <c r="AI654" s="1935"/>
      <c r="AJ654" s="1935"/>
      <c r="AK654" s="1935"/>
      <c r="AZ654" s="61"/>
      <c r="BA654" s="61"/>
      <c r="BB654" s="61"/>
      <c r="BC654" s="61"/>
      <c r="BD654" s="61"/>
      <c r="BE654" s="61"/>
      <c r="BF654" s="61"/>
      <c r="BG654" s="61"/>
      <c r="BH654" s="61"/>
      <c r="BI654" s="61"/>
      <c r="BJ654" s="61"/>
      <c r="BK654" s="61"/>
      <c r="BL654" s="61"/>
      <c r="BM654" s="61"/>
      <c r="BN654" s="1902">
        <f t="shared" si="28"/>
        <v>0</v>
      </c>
      <c r="BO654" s="1903"/>
      <c r="BP654" s="1903"/>
      <c r="BQ654" s="1903"/>
      <c r="BR654" s="1904"/>
      <c r="BS654" s="1901">
        <f t="shared" si="29"/>
        <v>0</v>
      </c>
      <c r="BT654" s="1901"/>
      <c r="BU654" s="1901"/>
      <c r="BV654" s="1901"/>
      <c r="BW654" s="1901"/>
      <c r="BX654" s="1901">
        <f t="shared" si="30"/>
        <v>0</v>
      </c>
      <c r="BY654" s="1901"/>
      <c r="BZ654" s="1901"/>
      <c r="CA654" s="1901"/>
      <c r="CB654" s="1901"/>
      <c r="CC654" s="1901">
        <f t="shared" si="31"/>
        <v>0</v>
      </c>
      <c r="CD654" s="1901"/>
      <c r="CE654" s="1901"/>
      <c r="CF654" s="1901"/>
      <c r="CG654" s="1901"/>
      <c r="CH654" s="1901">
        <f t="shared" si="32"/>
        <v>0</v>
      </c>
      <c r="CI654" s="1901"/>
      <c r="CJ654" s="1901"/>
      <c r="CK654" s="1901"/>
      <c r="CL654" s="1901"/>
      <c r="CM654" s="1901">
        <f t="shared" si="33"/>
        <v>0</v>
      </c>
      <c r="CN654" s="1901"/>
      <c r="CO654" s="1901"/>
      <c r="CP654" s="1901"/>
      <c r="CQ654" s="1901"/>
      <c r="CR654" s="265"/>
      <c r="CS654" s="1898">
        <f t="shared" si="34"/>
        <v>0</v>
      </c>
      <c r="CT654" s="1899"/>
      <c r="CU654" s="1899"/>
      <c r="CV654" s="1899"/>
      <c r="CW654" s="1900"/>
      <c r="CX654" s="1898">
        <f t="shared" si="35"/>
        <v>0</v>
      </c>
      <c r="CY654" s="1899"/>
      <c r="CZ654" s="1899"/>
      <c r="DA654" s="1899"/>
      <c r="DB654" s="1900"/>
      <c r="DC654" s="1898">
        <f t="shared" si="36"/>
        <v>0</v>
      </c>
      <c r="DD654" s="1899"/>
      <c r="DE654" s="1899"/>
      <c r="DF654" s="1899"/>
      <c r="DG654" s="1900"/>
      <c r="DH654" s="1898">
        <f t="shared" si="37"/>
        <v>0</v>
      </c>
      <c r="DI654" s="1899"/>
      <c r="DJ654" s="1899"/>
      <c r="DK654" s="1899"/>
      <c r="DL654" s="1900"/>
      <c r="DM654" s="1898">
        <f t="shared" si="38"/>
        <v>0</v>
      </c>
      <c r="DN654" s="1899"/>
      <c r="DO654" s="1899"/>
      <c r="DP654" s="1899"/>
      <c r="DQ654" s="1900"/>
      <c r="DR654" s="1898">
        <f t="shared" si="39"/>
        <v>0</v>
      </c>
      <c r="DS654" s="1899"/>
      <c r="DT654" s="1899"/>
      <c r="DU654" s="1899"/>
      <c r="DV654" s="1900"/>
      <c r="DX654" s="1897" t="e">
        <f t="shared" si="22"/>
        <v>#VALUE!</v>
      </c>
      <c r="DY654" s="1897"/>
      <c r="DZ654" s="1897"/>
      <c r="EA654" s="1897"/>
      <c r="EB654" s="1897"/>
      <c r="EC654" s="1897" t="e">
        <f t="shared" si="23"/>
        <v>#VALUE!</v>
      </c>
      <c r="ED654" s="1897"/>
      <c r="EE654" s="1897"/>
      <c r="EF654" s="1897"/>
      <c r="EG654" s="1897"/>
      <c r="EH654" s="1897" t="e">
        <f t="shared" si="24"/>
        <v>#VALUE!</v>
      </c>
      <c r="EI654" s="1897"/>
      <c r="EJ654" s="1897"/>
      <c r="EK654" s="1897"/>
      <c r="EL654" s="1897"/>
      <c r="EM654" s="1897" t="e">
        <f t="shared" si="25"/>
        <v>#VALUE!</v>
      </c>
      <c r="EN654" s="1897"/>
      <c r="EO654" s="1897"/>
      <c r="EP654" s="1897"/>
      <c r="EQ654" s="1897"/>
      <c r="ER654" s="1897" t="e">
        <f t="shared" si="26"/>
        <v>#VALUE!</v>
      </c>
      <c r="ES654" s="1897"/>
      <c r="ET654" s="1897"/>
      <c r="EU654" s="1897"/>
      <c r="EV654" s="1897"/>
      <c r="EW654" s="1897" t="e">
        <f t="shared" si="27"/>
        <v>#VALUE!</v>
      </c>
      <c r="EX654" s="1897"/>
      <c r="EY654" s="1897"/>
      <c r="EZ654" s="1897"/>
      <c r="FA654" s="1897"/>
    </row>
    <row r="655" spans="1:157" ht="12.75">
      <c r="A655" s="35"/>
      <c r="B655" s="12" t="s">
        <v>617</v>
      </c>
      <c r="G655" s="1934" t="s">
        <v>2615</v>
      </c>
      <c r="H655" s="1935"/>
      <c r="I655" s="1935"/>
      <c r="J655" s="1935"/>
      <c r="K655" s="1935"/>
      <c r="L655" s="1935"/>
      <c r="M655" s="1935"/>
      <c r="N655" s="1935"/>
      <c r="O655" s="1935"/>
      <c r="P655" s="1935"/>
      <c r="Q655" s="1935"/>
      <c r="R655" s="1935"/>
      <c r="S655" s="88"/>
      <c r="T655" s="35"/>
      <c r="U655" s="12" t="s">
        <v>617</v>
      </c>
      <c r="Z655" s="2162" t="s">
        <v>2547</v>
      </c>
      <c r="AA655" s="2162"/>
      <c r="AB655" s="2162"/>
      <c r="AC655" s="2162"/>
      <c r="AD655" s="2162"/>
      <c r="AE655" s="2162"/>
      <c r="AF655" s="2162"/>
      <c r="AG655" s="2162"/>
      <c r="AH655" s="2162"/>
      <c r="AI655" s="2162"/>
      <c r="AJ655" s="2162"/>
      <c r="AK655" s="2162"/>
      <c r="AZ655" s="61"/>
      <c r="BA655" s="61"/>
      <c r="BB655" s="61"/>
      <c r="BC655" s="61"/>
      <c r="BD655" s="61"/>
      <c r="BE655" s="61"/>
      <c r="BF655" s="61"/>
      <c r="BG655" s="61"/>
      <c r="BH655" s="61"/>
      <c r="BI655" s="61"/>
      <c r="BJ655" s="61"/>
      <c r="BK655" s="61"/>
      <c r="BL655" s="61"/>
      <c r="BM655" s="61"/>
      <c r="BN655" s="1902">
        <f t="shared" si="28"/>
        <v>0</v>
      </c>
      <c r="BO655" s="1903"/>
      <c r="BP655" s="1903"/>
      <c r="BQ655" s="1903"/>
      <c r="BR655" s="1904"/>
      <c r="BS655" s="1901">
        <f t="shared" si="29"/>
        <v>0</v>
      </c>
      <c r="BT655" s="1901"/>
      <c r="BU655" s="1901"/>
      <c r="BV655" s="1901"/>
      <c r="BW655" s="1901"/>
      <c r="BX655" s="1901">
        <f t="shared" si="30"/>
        <v>0</v>
      </c>
      <c r="BY655" s="1901"/>
      <c r="BZ655" s="1901"/>
      <c r="CA655" s="1901"/>
      <c r="CB655" s="1901"/>
      <c r="CC655" s="1901">
        <f t="shared" si="31"/>
        <v>0</v>
      </c>
      <c r="CD655" s="1901"/>
      <c r="CE655" s="1901"/>
      <c r="CF655" s="1901"/>
      <c r="CG655" s="1901"/>
      <c r="CH655" s="1901">
        <f t="shared" si="32"/>
        <v>0</v>
      </c>
      <c r="CI655" s="1901"/>
      <c r="CJ655" s="1901"/>
      <c r="CK655" s="1901"/>
      <c r="CL655" s="1901"/>
      <c r="CM655" s="1901">
        <f t="shared" si="33"/>
        <v>0</v>
      </c>
      <c r="CN655" s="1901"/>
      <c r="CO655" s="1901"/>
      <c r="CP655" s="1901"/>
      <c r="CQ655" s="1901"/>
      <c r="CR655" s="265"/>
      <c r="CS655" s="1898">
        <f t="shared" si="34"/>
        <v>0</v>
      </c>
      <c r="CT655" s="1899"/>
      <c r="CU655" s="1899"/>
      <c r="CV655" s="1899"/>
      <c r="CW655" s="1900"/>
      <c r="CX655" s="1898">
        <f t="shared" si="35"/>
        <v>0</v>
      </c>
      <c r="CY655" s="1899"/>
      <c r="CZ655" s="1899"/>
      <c r="DA655" s="1899"/>
      <c r="DB655" s="1900"/>
      <c r="DC655" s="1898">
        <f t="shared" si="36"/>
        <v>0</v>
      </c>
      <c r="DD655" s="1899"/>
      <c r="DE655" s="1899"/>
      <c r="DF655" s="1899"/>
      <c r="DG655" s="1900"/>
      <c r="DH655" s="1898">
        <f t="shared" si="37"/>
        <v>0</v>
      </c>
      <c r="DI655" s="1899"/>
      <c r="DJ655" s="1899"/>
      <c r="DK655" s="1899"/>
      <c r="DL655" s="1900"/>
      <c r="DM655" s="1898">
        <f t="shared" si="38"/>
        <v>0</v>
      </c>
      <c r="DN655" s="1899"/>
      <c r="DO655" s="1899"/>
      <c r="DP655" s="1899"/>
      <c r="DQ655" s="1900"/>
      <c r="DR655" s="1898">
        <f t="shared" si="39"/>
        <v>0</v>
      </c>
      <c r="DS655" s="1899"/>
      <c r="DT655" s="1899"/>
      <c r="DU655" s="1899"/>
      <c r="DV655" s="1900"/>
      <c r="DX655" s="1897" t="e">
        <f t="shared" si="22"/>
        <v>#VALUE!</v>
      </c>
      <c r="DY655" s="1897"/>
      <c r="DZ655" s="1897"/>
      <c r="EA655" s="1897"/>
      <c r="EB655" s="1897"/>
      <c r="EC655" s="1897" t="e">
        <f t="shared" si="23"/>
        <v>#VALUE!</v>
      </c>
      <c r="ED655" s="1897"/>
      <c r="EE655" s="1897"/>
      <c r="EF655" s="1897"/>
      <c r="EG655" s="1897"/>
      <c r="EH655" s="1897" t="e">
        <f t="shared" si="24"/>
        <v>#VALUE!</v>
      </c>
      <c r="EI655" s="1897"/>
      <c r="EJ655" s="1897"/>
      <c r="EK655" s="1897"/>
      <c r="EL655" s="1897"/>
      <c r="EM655" s="1897" t="e">
        <f t="shared" si="25"/>
        <v>#VALUE!</v>
      </c>
      <c r="EN655" s="1897"/>
      <c r="EO655" s="1897"/>
      <c r="EP655" s="1897"/>
      <c r="EQ655" s="1897"/>
      <c r="ER655" s="1897" t="e">
        <f t="shared" si="26"/>
        <v>#VALUE!</v>
      </c>
      <c r="ES655" s="1897"/>
      <c r="ET655" s="1897"/>
      <c r="EU655" s="1897"/>
      <c r="EV655" s="1897"/>
      <c r="EW655" s="1897" t="e">
        <f t="shared" si="27"/>
        <v>#VALUE!</v>
      </c>
      <c r="EX655" s="1897"/>
      <c r="EY655" s="1897"/>
      <c r="EZ655" s="1897"/>
      <c r="FA655" s="1897"/>
    </row>
    <row r="656" spans="1:157" ht="12.75">
      <c r="A656" s="35"/>
      <c r="B656" s="12" t="s">
        <v>17</v>
      </c>
      <c r="G656" s="1934" t="s">
        <v>2616</v>
      </c>
      <c r="H656" s="1935"/>
      <c r="I656" s="1935"/>
      <c r="J656" s="1935"/>
      <c r="K656" s="1935"/>
      <c r="L656" s="1935"/>
      <c r="M656" s="1935"/>
      <c r="N656" s="1935"/>
      <c r="O656" s="1935"/>
      <c r="P656" s="1935"/>
      <c r="Q656" s="1935"/>
      <c r="R656" s="1935"/>
      <c r="S656" s="14"/>
      <c r="T656" s="35"/>
      <c r="U656" s="12" t="s">
        <v>17</v>
      </c>
      <c r="Z656" s="2162" t="s">
        <v>2546</v>
      </c>
      <c r="AA656" s="2162"/>
      <c r="AB656" s="2162"/>
      <c r="AC656" s="2162"/>
      <c r="AD656" s="2162"/>
      <c r="AE656" s="2162"/>
      <c r="AF656" s="2162"/>
      <c r="AG656" s="2162"/>
      <c r="AH656" s="2162"/>
      <c r="AI656" s="2162"/>
      <c r="AJ656" s="2162"/>
      <c r="AK656" s="2162"/>
      <c r="AZ656" s="61"/>
      <c r="BA656" s="61"/>
      <c r="BB656" s="61"/>
      <c r="BC656" s="61"/>
      <c r="BD656" s="61"/>
      <c r="BE656" s="61"/>
      <c r="BF656" s="61"/>
      <c r="BG656" s="61"/>
      <c r="BH656" s="61"/>
      <c r="BI656" s="61"/>
      <c r="BJ656" s="61"/>
      <c r="BK656" s="61"/>
      <c r="BL656" s="61"/>
      <c r="BM656" s="61"/>
      <c r="BN656" s="1902">
        <f t="shared" si="28"/>
        <v>0</v>
      </c>
      <c r="BO656" s="1903"/>
      <c r="BP656" s="1903"/>
      <c r="BQ656" s="1903"/>
      <c r="BR656" s="1904"/>
      <c r="BS656" s="1901">
        <f t="shared" si="29"/>
        <v>0</v>
      </c>
      <c r="BT656" s="1901"/>
      <c r="BU656" s="1901"/>
      <c r="BV656" s="1901"/>
      <c r="BW656" s="1901"/>
      <c r="BX656" s="1901">
        <f t="shared" si="30"/>
        <v>0</v>
      </c>
      <c r="BY656" s="1901"/>
      <c r="BZ656" s="1901"/>
      <c r="CA656" s="1901"/>
      <c r="CB656" s="1901"/>
      <c r="CC656" s="1901">
        <f t="shared" si="31"/>
        <v>0</v>
      </c>
      <c r="CD656" s="1901"/>
      <c r="CE656" s="1901"/>
      <c r="CF656" s="1901"/>
      <c r="CG656" s="1901"/>
      <c r="CH656" s="1901">
        <f t="shared" si="32"/>
        <v>0</v>
      </c>
      <c r="CI656" s="1901"/>
      <c r="CJ656" s="1901"/>
      <c r="CK656" s="1901"/>
      <c r="CL656" s="1901"/>
      <c r="CM656" s="1901">
        <f t="shared" si="33"/>
        <v>0</v>
      </c>
      <c r="CN656" s="1901"/>
      <c r="CO656" s="1901"/>
      <c r="CP656" s="1901"/>
      <c r="CQ656" s="1901"/>
      <c r="CR656" s="265"/>
      <c r="CS656" s="1898">
        <f t="shared" si="34"/>
        <v>0</v>
      </c>
      <c r="CT656" s="1899"/>
      <c r="CU656" s="1899"/>
      <c r="CV656" s="1899"/>
      <c r="CW656" s="1900"/>
      <c r="CX656" s="1898">
        <f t="shared" si="35"/>
        <v>0</v>
      </c>
      <c r="CY656" s="1899"/>
      <c r="CZ656" s="1899"/>
      <c r="DA656" s="1899"/>
      <c r="DB656" s="1900"/>
      <c r="DC656" s="1898">
        <f t="shared" si="36"/>
        <v>0</v>
      </c>
      <c r="DD656" s="1899"/>
      <c r="DE656" s="1899"/>
      <c r="DF656" s="1899"/>
      <c r="DG656" s="1900"/>
      <c r="DH656" s="1898">
        <f t="shared" si="37"/>
        <v>0</v>
      </c>
      <c r="DI656" s="1899"/>
      <c r="DJ656" s="1899"/>
      <c r="DK656" s="1899"/>
      <c r="DL656" s="1900"/>
      <c r="DM656" s="1898">
        <f t="shared" si="38"/>
        <v>0</v>
      </c>
      <c r="DN656" s="1899"/>
      <c r="DO656" s="1899"/>
      <c r="DP656" s="1899"/>
      <c r="DQ656" s="1900"/>
      <c r="DR656" s="1898">
        <f t="shared" si="39"/>
        <v>0</v>
      </c>
      <c r="DS656" s="1899"/>
      <c r="DT656" s="1899"/>
      <c r="DU656" s="1899"/>
      <c r="DV656" s="1900"/>
      <c r="DX656" s="1897" t="e">
        <f t="shared" si="22"/>
        <v>#VALUE!</v>
      </c>
      <c r="DY656" s="1897"/>
      <c r="DZ656" s="1897"/>
      <c r="EA656" s="1897"/>
      <c r="EB656" s="1897"/>
      <c r="EC656" s="1897" t="e">
        <f t="shared" si="23"/>
        <v>#VALUE!</v>
      </c>
      <c r="ED656" s="1897"/>
      <c r="EE656" s="1897"/>
      <c r="EF656" s="1897"/>
      <c r="EG656" s="1897"/>
      <c r="EH656" s="1897" t="e">
        <f t="shared" si="24"/>
        <v>#VALUE!</v>
      </c>
      <c r="EI656" s="1897"/>
      <c r="EJ656" s="1897"/>
      <c r="EK656" s="1897"/>
      <c r="EL656" s="1897"/>
      <c r="EM656" s="1897" t="e">
        <f t="shared" si="25"/>
        <v>#VALUE!</v>
      </c>
      <c r="EN656" s="1897"/>
      <c r="EO656" s="1897"/>
      <c r="EP656" s="1897"/>
      <c r="EQ656" s="1897"/>
      <c r="ER656" s="1897" t="e">
        <f t="shared" si="26"/>
        <v>#VALUE!</v>
      </c>
      <c r="ES656" s="1897"/>
      <c r="ET656" s="1897"/>
      <c r="EU656" s="1897"/>
      <c r="EV656" s="1897"/>
      <c r="EW656" s="1897" t="e">
        <f t="shared" si="27"/>
        <v>#VALUE!</v>
      </c>
      <c r="EX656" s="1897"/>
      <c r="EY656" s="1897"/>
      <c r="EZ656" s="1897"/>
      <c r="FA656" s="1897"/>
    </row>
    <row r="657" spans="1:157" ht="12.75">
      <c r="A657" s="35"/>
      <c r="B657" s="12" t="s">
        <v>327</v>
      </c>
      <c r="G657" s="2157">
        <v>2193805956</v>
      </c>
      <c r="H657" s="2157"/>
      <c r="I657" s="2157"/>
      <c r="J657" s="2157"/>
      <c r="K657" s="2157"/>
      <c r="L657" s="2157"/>
      <c r="O657" s="137" t="s">
        <v>212</v>
      </c>
      <c r="P657" s="1958"/>
      <c r="Q657" s="1958"/>
      <c r="R657" s="1958"/>
      <c r="S657" s="16"/>
      <c r="T657" s="35"/>
      <c r="U657" s="12" t="s">
        <v>327</v>
      </c>
      <c r="Z657" s="2157">
        <v>9162635022</v>
      </c>
      <c r="AA657" s="2157"/>
      <c r="AB657" s="2157"/>
      <c r="AC657" s="2157"/>
      <c r="AD657" s="2157"/>
      <c r="AE657" s="2157"/>
      <c r="AH657" s="137" t="s">
        <v>212</v>
      </c>
      <c r="AI657" s="1958"/>
      <c r="AJ657" s="1958"/>
      <c r="AK657" s="1958"/>
      <c r="AZ657" s="61"/>
      <c r="BA657" s="61"/>
      <c r="BB657" s="61"/>
      <c r="BC657" s="61"/>
      <c r="BD657" s="61"/>
      <c r="BE657" s="61"/>
      <c r="BF657" s="61"/>
      <c r="BG657" s="61"/>
      <c r="BH657" s="61"/>
      <c r="BI657" s="61"/>
      <c r="BJ657" s="61"/>
      <c r="BK657" s="61"/>
      <c r="BL657" s="61"/>
      <c r="BM657" s="61"/>
      <c r="BN657" s="1902">
        <f t="shared" si="28"/>
        <v>0</v>
      </c>
      <c r="BO657" s="1903"/>
      <c r="BP657" s="1903"/>
      <c r="BQ657" s="1903"/>
      <c r="BR657" s="1904"/>
      <c r="BS657" s="1901">
        <f t="shared" si="29"/>
        <v>0</v>
      </c>
      <c r="BT657" s="1901"/>
      <c r="BU657" s="1901"/>
      <c r="BV657" s="1901"/>
      <c r="BW657" s="1901"/>
      <c r="BX657" s="1901">
        <f t="shared" si="30"/>
        <v>0</v>
      </c>
      <c r="BY657" s="1901"/>
      <c r="BZ657" s="1901"/>
      <c r="CA657" s="1901"/>
      <c r="CB657" s="1901"/>
      <c r="CC657" s="1901">
        <f t="shared" si="31"/>
        <v>0</v>
      </c>
      <c r="CD657" s="1901"/>
      <c r="CE657" s="1901"/>
      <c r="CF657" s="1901"/>
      <c r="CG657" s="1901"/>
      <c r="CH657" s="1901">
        <f t="shared" si="32"/>
        <v>0</v>
      </c>
      <c r="CI657" s="1901"/>
      <c r="CJ657" s="1901"/>
      <c r="CK657" s="1901"/>
      <c r="CL657" s="1901"/>
      <c r="CM657" s="1901">
        <f t="shared" si="33"/>
        <v>0</v>
      </c>
      <c r="CN657" s="1901"/>
      <c r="CO657" s="1901"/>
      <c r="CP657" s="1901"/>
      <c r="CQ657" s="1901"/>
      <c r="CR657" s="265"/>
      <c r="CS657" s="1898">
        <f t="shared" si="34"/>
        <v>0</v>
      </c>
      <c r="CT657" s="1899"/>
      <c r="CU657" s="1899"/>
      <c r="CV657" s="1899"/>
      <c r="CW657" s="1900"/>
      <c r="CX657" s="1898">
        <f t="shared" si="35"/>
        <v>0</v>
      </c>
      <c r="CY657" s="1899"/>
      <c r="CZ657" s="1899"/>
      <c r="DA657" s="1899"/>
      <c r="DB657" s="1900"/>
      <c r="DC657" s="1898">
        <f t="shared" si="36"/>
        <v>0</v>
      </c>
      <c r="DD657" s="1899"/>
      <c r="DE657" s="1899"/>
      <c r="DF657" s="1899"/>
      <c r="DG657" s="1900"/>
      <c r="DH657" s="1898">
        <f t="shared" si="37"/>
        <v>0</v>
      </c>
      <c r="DI657" s="1899"/>
      <c r="DJ657" s="1899"/>
      <c r="DK657" s="1899"/>
      <c r="DL657" s="1900"/>
      <c r="DM657" s="1898">
        <f t="shared" si="38"/>
        <v>0</v>
      </c>
      <c r="DN657" s="1899"/>
      <c r="DO657" s="1899"/>
      <c r="DP657" s="1899"/>
      <c r="DQ657" s="1900"/>
      <c r="DR657" s="1898">
        <f t="shared" si="39"/>
        <v>0</v>
      </c>
      <c r="DS657" s="1899"/>
      <c r="DT657" s="1899"/>
      <c r="DU657" s="1899"/>
      <c r="DV657" s="1900"/>
      <c r="DX657" s="1897" t="e">
        <f t="shared" si="22"/>
        <v>#VALUE!</v>
      </c>
      <c r="DY657" s="1897"/>
      <c r="DZ657" s="1897"/>
      <c r="EA657" s="1897"/>
      <c r="EB657" s="1897"/>
      <c r="EC657" s="1897" t="e">
        <f t="shared" si="23"/>
        <v>#VALUE!</v>
      </c>
      <c r="ED657" s="1897"/>
      <c r="EE657" s="1897"/>
      <c r="EF657" s="1897"/>
      <c r="EG657" s="1897"/>
      <c r="EH657" s="1897" t="e">
        <f t="shared" si="24"/>
        <v>#VALUE!</v>
      </c>
      <c r="EI657" s="1897"/>
      <c r="EJ657" s="1897"/>
      <c r="EK657" s="1897"/>
      <c r="EL657" s="1897"/>
      <c r="EM657" s="1897" t="e">
        <f t="shared" si="25"/>
        <v>#VALUE!</v>
      </c>
      <c r="EN657" s="1897"/>
      <c r="EO657" s="1897"/>
      <c r="EP657" s="1897"/>
      <c r="EQ657" s="1897"/>
      <c r="ER657" s="1897" t="e">
        <f t="shared" si="26"/>
        <v>#VALUE!</v>
      </c>
      <c r="ES657" s="1897"/>
      <c r="ET657" s="1897"/>
      <c r="EU657" s="1897"/>
      <c r="EV657" s="1897"/>
      <c r="EW657" s="1897" t="e">
        <f t="shared" si="27"/>
        <v>#VALUE!</v>
      </c>
      <c r="EX657" s="1897"/>
      <c r="EY657" s="1897"/>
      <c r="EZ657" s="1897"/>
      <c r="FA657" s="1897"/>
    </row>
    <row r="658" spans="1:157" ht="12.75">
      <c r="A658" s="35"/>
      <c r="B658" s="12" t="s">
        <v>18</v>
      </c>
      <c r="H658" s="1934" t="s">
        <v>2555</v>
      </c>
      <c r="I658" s="1935"/>
      <c r="J658" s="1935"/>
      <c r="K658" s="1935"/>
      <c r="L658" s="1935"/>
      <c r="M658" s="1935"/>
      <c r="N658" s="1935"/>
      <c r="O658" s="1935"/>
      <c r="P658" s="1935"/>
      <c r="Q658" s="1935"/>
      <c r="R658" s="1935"/>
      <c r="S658" s="14"/>
      <c r="T658" s="35"/>
      <c r="U658" s="12" t="s">
        <v>18</v>
      </c>
      <c r="AA658" s="1934" t="s">
        <v>2555</v>
      </c>
      <c r="AB658" s="1935"/>
      <c r="AC658" s="1935"/>
      <c r="AD658" s="1935"/>
      <c r="AE658" s="1935"/>
      <c r="AF658" s="1935"/>
      <c r="AG658" s="1935"/>
      <c r="AH658" s="1935"/>
      <c r="AI658" s="1935"/>
      <c r="AJ658" s="1935"/>
      <c r="AK658" s="1935"/>
      <c r="AZ658" s="61"/>
      <c r="BA658" s="61"/>
      <c r="BB658" s="61"/>
      <c r="BC658" s="61"/>
      <c r="BD658" s="61"/>
      <c r="BE658" s="61"/>
      <c r="BF658" s="61"/>
      <c r="BG658" s="61"/>
      <c r="BH658" s="61"/>
      <c r="BI658" s="61"/>
      <c r="BJ658" s="61"/>
      <c r="BK658" s="61"/>
      <c r="BL658" s="61"/>
      <c r="BM658" s="61"/>
      <c r="BN658" s="1901">
        <f>SUM(BN648:BR657)</f>
        <v>0</v>
      </c>
      <c r="BO658" s="1901"/>
      <c r="BP658" s="1901"/>
      <c r="BQ658" s="1901"/>
      <c r="BR658" s="1901"/>
      <c r="BS658" s="1901">
        <f>SUM(BS648:BW657)</f>
        <v>0</v>
      </c>
      <c r="BT658" s="1901"/>
      <c r="BU658" s="1901"/>
      <c r="BV658" s="1901"/>
      <c r="BW658" s="1901"/>
      <c r="BX658" s="1901">
        <f>SUM(BX648:CB657)</f>
        <v>0</v>
      </c>
      <c r="BY658" s="1901"/>
      <c r="BZ658" s="1901"/>
      <c r="CA658" s="1901"/>
      <c r="CB658" s="1901"/>
      <c r="CC658" s="1901">
        <f>SUM(CC648:CG657)</f>
        <v>0</v>
      </c>
      <c r="CD658" s="1901"/>
      <c r="CE658" s="1901"/>
      <c r="CF658" s="1901"/>
      <c r="CG658" s="1901"/>
      <c r="CH658" s="1901">
        <f>SUM(CH648:CL657)</f>
        <v>0</v>
      </c>
      <c r="CI658" s="1901"/>
      <c r="CJ658" s="1901"/>
      <c r="CK658" s="1901"/>
      <c r="CL658" s="1901"/>
      <c r="CM658" s="1901">
        <f>SUM(CM648:CQ657)</f>
        <v>0</v>
      </c>
      <c r="CN658" s="1901"/>
      <c r="CO658" s="1901"/>
      <c r="CP658" s="1901"/>
      <c r="CQ658" s="1901"/>
      <c r="CR658" s="1666"/>
      <c r="CS658" s="1896">
        <f>SUM(CS648:CW657)</f>
        <v>0</v>
      </c>
      <c r="CT658" s="1896"/>
      <c r="CU658" s="1896"/>
      <c r="CV658" s="1896"/>
      <c r="CW658" s="1896"/>
      <c r="CX658" s="1896">
        <f>SUM(CX648:DB657)</f>
        <v>0</v>
      </c>
      <c r="CY658" s="1896"/>
      <c r="CZ658" s="1896"/>
      <c r="DA658" s="1896"/>
      <c r="DB658" s="1896"/>
      <c r="DC658" s="1896">
        <f>SUM(DC648:DG657)</f>
        <v>0</v>
      </c>
      <c r="DD658" s="1896"/>
      <c r="DE658" s="1896"/>
      <c r="DF658" s="1896"/>
      <c r="DG658" s="1896"/>
      <c r="DH658" s="1896">
        <f>SUM(DH648:DL657)</f>
        <v>0</v>
      </c>
      <c r="DI658" s="1896"/>
      <c r="DJ658" s="1896"/>
      <c r="DK658" s="1896"/>
      <c r="DL658" s="1896"/>
      <c r="DM658" s="1896">
        <f>SUM(DM648:DQ657)</f>
        <v>0</v>
      </c>
      <c r="DN658" s="1896"/>
      <c r="DO658" s="1896"/>
      <c r="DP658" s="1896"/>
      <c r="DQ658" s="1896"/>
      <c r="DR658" s="1896">
        <f>SUM(DR648:DV657)</f>
        <v>0</v>
      </c>
      <c r="DS658" s="1896"/>
      <c r="DT658" s="1896"/>
      <c r="DU658" s="1896"/>
      <c r="DV658" s="1896"/>
      <c r="DX658" s="1897" t="e">
        <f t="shared" si="22"/>
        <v>#VALUE!</v>
      </c>
      <c r="DY658" s="1897"/>
      <c r="DZ658" s="1897"/>
      <c r="EA658" s="1897"/>
      <c r="EB658" s="1897"/>
      <c r="EC658" s="1897" t="e">
        <f t="shared" si="23"/>
        <v>#VALUE!</v>
      </c>
      <c r="ED658" s="1897"/>
      <c r="EE658" s="1897"/>
      <c r="EF658" s="1897"/>
      <c r="EG658" s="1897"/>
      <c r="EH658" s="1897" t="e">
        <f t="shared" si="24"/>
        <v>#VALUE!</v>
      </c>
      <c r="EI658" s="1897"/>
      <c r="EJ658" s="1897"/>
      <c r="EK658" s="1897"/>
      <c r="EL658" s="1897"/>
      <c r="EM658" s="1897" t="e">
        <f t="shared" si="25"/>
        <v>#VALUE!</v>
      </c>
      <c r="EN658" s="1897"/>
      <c r="EO658" s="1897"/>
      <c r="EP658" s="1897"/>
      <c r="EQ658" s="1897"/>
      <c r="ER658" s="1897" t="e">
        <f t="shared" si="26"/>
        <v>#VALUE!</v>
      </c>
      <c r="ES658" s="1897"/>
      <c r="ET658" s="1897"/>
      <c r="EU658" s="1897"/>
      <c r="EV658" s="1897"/>
      <c r="EW658" s="1897" t="e">
        <f t="shared" si="27"/>
        <v>#VALUE!</v>
      </c>
      <c r="EX658" s="1897"/>
      <c r="EY658" s="1897"/>
      <c r="EZ658" s="1897"/>
      <c r="FA658" s="1897"/>
    </row>
    <row r="659" spans="1:157" ht="12.75">
      <c r="A659" s="35"/>
      <c r="B659" s="12" t="s">
        <v>20</v>
      </c>
      <c r="N659" s="1961" t="s">
        <v>708</v>
      </c>
      <c r="O659" s="1961"/>
      <c r="T659" s="35"/>
      <c r="U659" s="12" t="s">
        <v>20</v>
      </c>
      <c r="AG659" s="1961" t="s">
        <v>580</v>
      </c>
      <c r="AH659" s="1961"/>
      <c r="AZ659" s="61"/>
      <c r="BA659" s="61"/>
      <c r="BB659" s="61"/>
      <c r="BC659" s="61"/>
      <c r="BD659" s="61"/>
      <c r="BE659" s="61"/>
      <c r="BF659" s="61"/>
      <c r="BG659" s="61"/>
      <c r="BH659" s="61"/>
      <c r="BI659" s="61"/>
      <c r="BJ659" s="61"/>
      <c r="BK659" s="61"/>
      <c r="BL659" s="61"/>
      <c r="BM659" s="61"/>
      <c r="BN659" s="61"/>
      <c r="BO659" s="58"/>
      <c r="BP659" s="58"/>
      <c r="BQ659" s="58"/>
      <c r="BR659" s="1391">
        <f>BN658*1</f>
        <v>0</v>
      </c>
      <c r="BS659" s="58"/>
      <c r="BT659" s="58"/>
      <c r="BU659" s="58"/>
      <c r="BV659" s="58"/>
      <c r="BW659" s="1391">
        <f>BS658*1</f>
        <v>0</v>
      </c>
      <c r="BX659" s="58"/>
      <c r="BY659" s="58"/>
      <c r="BZ659" s="58"/>
      <c r="CA659" s="58"/>
      <c r="CB659" s="1391">
        <f>BX658*2</f>
        <v>0</v>
      </c>
      <c r="CC659" s="58"/>
      <c r="CD659" s="58"/>
      <c r="CE659" s="58"/>
      <c r="CF659" s="58"/>
      <c r="CG659" s="1391">
        <f>CC658*3</f>
        <v>0</v>
      </c>
      <c r="CH659" s="58"/>
      <c r="CI659" s="58"/>
      <c r="CJ659" s="58"/>
      <c r="CK659" s="58"/>
      <c r="CL659" s="1391">
        <f>CH658*4</f>
        <v>0</v>
      </c>
      <c r="CM659" s="58"/>
      <c r="CN659" s="58"/>
      <c r="CO659" s="58"/>
      <c r="CP659" s="58"/>
      <c r="CQ659" s="1391">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897" t="e">
        <f t="shared" si="22"/>
        <v>#VALUE!</v>
      </c>
      <c r="DY659" s="1897"/>
      <c r="DZ659" s="1897"/>
      <c r="EA659" s="1897"/>
      <c r="EB659" s="1897"/>
      <c r="EC659" s="1897" t="e">
        <f t="shared" si="23"/>
        <v>#VALUE!</v>
      </c>
      <c r="ED659" s="1897"/>
      <c r="EE659" s="1897"/>
      <c r="EF659" s="1897"/>
      <c r="EG659" s="1897"/>
      <c r="EH659" s="1897" t="e">
        <f t="shared" si="24"/>
        <v>#VALUE!</v>
      </c>
      <c r="EI659" s="1897"/>
      <c r="EJ659" s="1897"/>
      <c r="EK659" s="1897"/>
      <c r="EL659" s="1897"/>
      <c r="EM659" s="1897" t="e">
        <f t="shared" si="25"/>
        <v>#VALUE!</v>
      </c>
      <c r="EN659" s="1897"/>
      <c r="EO659" s="1897"/>
      <c r="EP659" s="1897"/>
      <c r="EQ659" s="1897"/>
      <c r="ER659" s="1897" t="e">
        <f t="shared" si="26"/>
        <v>#VALUE!</v>
      </c>
      <c r="ES659" s="1897"/>
      <c r="ET659" s="1897"/>
      <c r="EU659" s="1897"/>
      <c r="EV659" s="1897"/>
      <c r="EW659" s="1897" t="e">
        <f t="shared" si="27"/>
        <v>#VALUE!</v>
      </c>
      <c r="EX659" s="1897"/>
      <c r="EY659" s="1897"/>
      <c r="EZ659" s="1897"/>
      <c r="FA659" s="1897"/>
    </row>
    <row r="660" spans="1:157" ht="12.75">
      <c r="A660" s="35"/>
      <c r="T660" s="35"/>
      <c r="AZ660" s="61"/>
      <c r="BA660" s="61"/>
      <c r="BB660" s="61"/>
      <c r="BC660" s="61"/>
      <c r="BD660" s="61"/>
      <c r="BE660" s="61"/>
      <c r="BF660" s="61"/>
      <c r="BG660" s="61"/>
      <c r="BH660" s="61"/>
      <c r="BI660" s="61"/>
      <c r="BJ660" s="61"/>
      <c r="BK660" s="61"/>
      <c r="BL660" s="61"/>
      <c r="BM660" s="61"/>
      <c r="BN660" s="61"/>
      <c r="BO660" s="58"/>
      <c r="BP660" s="58"/>
      <c r="BQ660" s="58"/>
      <c r="BR660" s="720"/>
      <c r="BS660" s="720"/>
      <c r="BT660" s="720"/>
      <c r="BU660" s="720"/>
      <c r="BV660" s="720"/>
      <c r="BW660" s="720"/>
      <c r="BX660" s="720"/>
      <c r="BY660" s="720"/>
      <c r="BZ660" s="720"/>
      <c r="CA660" s="720"/>
      <c r="CB660" s="720"/>
      <c r="CC660" s="720"/>
      <c r="CD660" s="720"/>
      <c r="CE660" s="720"/>
      <c r="CF660" s="720"/>
      <c r="CG660" s="720"/>
      <c r="CH660" s="720"/>
      <c r="CI660" s="720"/>
      <c r="CJ660" s="720"/>
      <c r="CK660" s="720"/>
      <c r="CL660" s="720"/>
      <c r="CM660" s="720"/>
      <c r="CN660" s="720"/>
      <c r="CO660" s="720"/>
      <c r="CP660" s="720"/>
      <c r="CQ660" s="720"/>
      <c r="CR660" s="177"/>
      <c r="CS660" s="1391">
        <f>BN658+BS658+BX658+CC658+CH658+CM658</f>
        <v>0</v>
      </c>
      <c r="CT660" s="134" t="s">
        <v>2476</v>
      </c>
      <c r="CU660" s="58"/>
      <c r="CV660" s="58"/>
      <c r="CW660" s="58"/>
      <c r="CX660" s="58"/>
      <c r="CY660" s="58"/>
      <c r="CZ660" s="58"/>
      <c r="DA660" s="58"/>
      <c r="DB660" s="58"/>
      <c r="DC660" s="58"/>
      <c r="DD660" s="58"/>
      <c r="DE660" s="58"/>
      <c r="DF660" s="58"/>
      <c r="DG660" s="720"/>
      <c r="DH660" s="720"/>
      <c r="DI660" s="720"/>
      <c r="DJ660" s="720"/>
      <c r="DK660" s="720"/>
      <c r="DL660" s="720"/>
      <c r="DM660" s="720"/>
      <c r="DN660" s="720"/>
      <c r="DO660" s="720"/>
      <c r="DP660" s="720"/>
      <c r="DQ660" s="136" t="s">
        <v>2481</v>
      </c>
      <c r="DR660" s="1897">
        <f>SUM(CS658:DV658)</f>
        <v>0</v>
      </c>
      <c r="DS660" s="1897"/>
      <c r="DT660" s="1897"/>
      <c r="DU660" s="1897"/>
      <c r="DV660" s="1897"/>
      <c r="DX660" s="1897" t="e">
        <f t="shared" si="22"/>
        <v>#VALUE!</v>
      </c>
      <c r="DY660" s="1897"/>
      <c r="DZ660" s="1897"/>
      <c r="EA660" s="1897"/>
      <c r="EB660" s="1897"/>
      <c r="EC660" s="1897" t="e">
        <f t="shared" si="23"/>
        <v>#VALUE!</v>
      </c>
      <c r="ED660" s="1897"/>
      <c r="EE660" s="1897"/>
      <c r="EF660" s="1897"/>
      <c r="EG660" s="1897"/>
      <c r="EH660" s="1897" t="e">
        <f t="shared" si="24"/>
        <v>#VALUE!</v>
      </c>
      <c r="EI660" s="1897"/>
      <c r="EJ660" s="1897"/>
      <c r="EK660" s="1897"/>
      <c r="EL660" s="1897"/>
      <c r="EM660" s="1897" t="e">
        <f t="shared" si="25"/>
        <v>#VALUE!</v>
      </c>
      <c r="EN660" s="1897"/>
      <c r="EO660" s="1897"/>
      <c r="EP660" s="1897"/>
      <c r="EQ660" s="1897"/>
      <c r="ER660" s="1897" t="e">
        <f t="shared" si="26"/>
        <v>#VALUE!</v>
      </c>
      <c r="ES660" s="1897"/>
      <c r="ET660" s="1897"/>
      <c r="EU660" s="1897"/>
      <c r="EV660" s="1897"/>
      <c r="EW660" s="1897" t="e">
        <f t="shared" si="27"/>
        <v>#VALUE!</v>
      </c>
      <c r="EX660" s="1897"/>
      <c r="EY660" s="1897"/>
      <c r="EZ660" s="1897"/>
      <c r="FA660" s="1897"/>
    </row>
    <row r="661" spans="1:157" ht="12.75">
      <c r="A661" s="87" t="s">
        <v>124</v>
      </c>
      <c r="B661" s="12" t="s">
        <v>498</v>
      </c>
      <c r="G661" s="2156" t="str">
        <f>C639</f>
        <v>Sponsor loan - Monterey County TIF</v>
      </c>
      <c r="H661" s="2156"/>
      <c r="I661" s="2156"/>
      <c r="J661" s="2156"/>
      <c r="K661" s="2156"/>
      <c r="L661" s="2156"/>
      <c r="M661" s="2156"/>
      <c r="N661" s="2156"/>
      <c r="O661" s="2156"/>
      <c r="P661" s="2156"/>
      <c r="Q661" s="2156"/>
      <c r="R661" s="2156"/>
      <c r="T661" s="87" t="s">
        <v>618</v>
      </c>
      <c r="U661" s="12" t="s">
        <v>498</v>
      </c>
      <c r="Z661" s="2156" t="str">
        <f>C640</f>
        <v>Sponsor loan - Monterey Bay Community Power</v>
      </c>
      <c r="AA661" s="2156"/>
      <c r="AB661" s="2156"/>
      <c r="AC661" s="2156"/>
      <c r="AD661" s="2156"/>
      <c r="AE661" s="2156"/>
      <c r="AF661" s="2156"/>
      <c r="AG661" s="2156"/>
      <c r="AH661" s="2156"/>
      <c r="AI661" s="2156"/>
      <c r="AJ661" s="2156"/>
      <c r="AK661" s="2156"/>
      <c r="AZ661" s="61"/>
      <c r="BA661" s="61"/>
      <c r="BB661" s="61"/>
      <c r="BC661" s="61"/>
      <c r="BD661" s="61"/>
      <c r="BE661" s="61"/>
      <c r="BF661" s="61"/>
      <c r="BG661" s="61"/>
      <c r="BH661" s="61"/>
      <c r="BI661" s="61"/>
      <c r="BJ661" s="61"/>
      <c r="BK661" s="61"/>
      <c r="BL661" s="61"/>
      <c r="BM661" s="61"/>
      <c r="BN661" s="61"/>
      <c r="BO661" s="58"/>
      <c r="BP661" s="58"/>
      <c r="BQ661" s="58"/>
      <c r="BR661" s="720"/>
      <c r="BS661" s="720"/>
      <c r="BT661" s="720"/>
      <c r="BU661" s="720"/>
      <c r="BV661" s="720"/>
      <c r="BW661" s="720"/>
      <c r="BX661" s="720"/>
      <c r="BY661" s="720"/>
      <c r="BZ661" s="720"/>
      <c r="CA661" s="720"/>
      <c r="CB661" s="720"/>
      <c r="CC661" s="720"/>
      <c r="CD661" s="720"/>
      <c r="CE661" s="720"/>
      <c r="CF661" s="720"/>
      <c r="CG661" s="720"/>
      <c r="CH661" s="720"/>
      <c r="CI661" s="720"/>
      <c r="CJ661" s="720"/>
      <c r="CK661" s="720"/>
      <c r="CL661" s="720"/>
      <c r="CM661" s="720"/>
      <c r="CN661" s="720"/>
      <c r="CO661" s="720"/>
      <c r="CP661" s="720"/>
      <c r="CQ661" s="720"/>
      <c r="CR661" s="177"/>
      <c r="CS661" s="1391">
        <f>BR659+BW659+CB659+CG659+CL659+CQ659</f>
        <v>0</v>
      </c>
      <c r="CT661" s="134" t="s">
        <v>1996</v>
      </c>
      <c r="CU661" s="58"/>
      <c r="CV661" s="58"/>
      <c r="CW661" s="58"/>
      <c r="CX661" s="58"/>
      <c r="CY661" s="58"/>
      <c r="CZ661" s="58"/>
      <c r="DA661" s="58"/>
      <c r="DB661" s="58"/>
      <c r="DC661" s="58"/>
      <c r="DD661" s="58"/>
      <c r="DE661" s="58"/>
      <c r="DF661" s="58"/>
      <c r="DX661" s="1897" t="e">
        <f t="shared" si="22"/>
        <v>#VALUE!</v>
      </c>
      <c r="DY661" s="1897"/>
      <c r="DZ661" s="1897"/>
      <c r="EA661" s="1897"/>
      <c r="EB661" s="1897"/>
      <c r="EC661" s="1897" t="e">
        <f t="shared" si="23"/>
        <v>#VALUE!</v>
      </c>
      <c r="ED661" s="1897"/>
      <c r="EE661" s="1897"/>
      <c r="EF661" s="1897"/>
      <c r="EG661" s="1897"/>
      <c r="EH661" s="1897" t="e">
        <f t="shared" si="24"/>
        <v>#VALUE!</v>
      </c>
      <c r="EI661" s="1897"/>
      <c r="EJ661" s="1897"/>
      <c r="EK661" s="1897"/>
      <c r="EL661" s="1897"/>
      <c r="EM661" s="1897" t="e">
        <f t="shared" si="25"/>
        <v>#VALUE!</v>
      </c>
      <c r="EN661" s="1897"/>
      <c r="EO661" s="1897"/>
      <c r="EP661" s="1897"/>
      <c r="EQ661" s="1897"/>
      <c r="ER661" s="1897" t="e">
        <f t="shared" si="26"/>
        <v>#VALUE!</v>
      </c>
      <c r="ES661" s="1897"/>
      <c r="ET661" s="1897"/>
      <c r="EU661" s="1897"/>
      <c r="EV661" s="1897"/>
      <c r="EW661" s="1897" t="e">
        <f t="shared" si="27"/>
        <v>#VALUE!</v>
      </c>
      <c r="EX661" s="1897"/>
      <c r="EY661" s="1897"/>
      <c r="EZ661" s="1897"/>
      <c r="FA661" s="1897"/>
    </row>
    <row r="662" spans="1:157" ht="12.75">
      <c r="A662" s="35"/>
      <c r="B662" s="12" t="s">
        <v>90</v>
      </c>
      <c r="G662" s="1935" t="s">
        <v>2550</v>
      </c>
      <c r="H662" s="1935"/>
      <c r="I662" s="1935"/>
      <c r="J662" s="1935"/>
      <c r="K662" s="1935"/>
      <c r="L662" s="1935"/>
      <c r="M662" s="1935"/>
      <c r="N662" s="1935"/>
      <c r="O662" s="1935"/>
      <c r="P662" s="1935"/>
      <c r="Q662" s="1935"/>
      <c r="R662" s="1935"/>
      <c r="T662" s="35"/>
      <c r="U662" s="12" t="s">
        <v>90</v>
      </c>
      <c r="Z662" s="1934" t="s">
        <v>2490</v>
      </c>
      <c r="AA662" s="1935"/>
      <c r="AB662" s="1935"/>
      <c r="AC662" s="1935"/>
      <c r="AD662" s="1935"/>
      <c r="AE662" s="1935"/>
      <c r="AF662" s="1935"/>
      <c r="AG662" s="1935"/>
      <c r="AH662" s="1935"/>
      <c r="AI662" s="1935"/>
      <c r="AJ662" s="1935"/>
      <c r="AK662" s="193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c r="DE662" s="58"/>
      <c r="DF662" s="58"/>
      <c r="DX662" s="1897" t="e">
        <f t="shared" si="22"/>
        <v>#VALUE!</v>
      </c>
      <c r="DY662" s="1897"/>
      <c r="DZ662" s="1897"/>
      <c r="EA662" s="1897"/>
      <c r="EB662" s="1897"/>
      <c r="EC662" s="1897" t="e">
        <f t="shared" si="23"/>
        <v>#VALUE!</v>
      </c>
      <c r="ED662" s="1897"/>
      <c r="EE662" s="1897"/>
      <c r="EF662" s="1897"/>
      <c r="EG662" s="1897"/>
      <c r="EH662" s="1897" t="e">
        <f t="shared" si="24"/>
        <v>#VALUE!</v>
      </c>
      <c r="EI662" s="1897"/>
      <c r="EJ662" s="1897"/>
      <c r="EK662" s="1897"/>
      <c r="EL662" s="1897"/>
      <c r="EM662" s="1897" t="e">
        <f t="shared" si="25"/>
        <v>#VALUE!</v>
      </c>
      <c r="EN662" s="1897"/>
      <c r="EO662" s="1897"/>
      <c r="EP662" s="1897"/>
      <c r="EQ662" s="1897"/>
      <c r="ER662" s="1897" t="e">
        <f t="shared" si="26"/>
        <v>#VALUE!</v>
      </c>
      <c r="ES662" s="1897"/>
      <c r="ET662" s="1897"/>
      <c r="EU662" s="1897"/>
      <c r="EV662" s="1897"/>
      <c r="EW662" s="1897" t="e">
        <f t="shared" si="27"/>
        <v>#VALUE!</v>
      </c>
      <c r="EX662" s="1897"/>
      <c r="EY662" s="1897"/>
      <c r="EZ662" s="1897"/>
      <c r="FA662" s="1897"/>
    </row>
    <row r="663" spans="1:157" ht="12.75">
      <c r="A663" s="35"/>
      <c r="B663" s="12" t="s">
        <v>617</v>
      </c>
      <c r="G663" s="2162" t="s">
        <v>2551</v>
      </c>
      <c r="H663" s="2162"/>
      <c r="I663" s="2162"/>
      <c r="J663" s="2162"/>
      <c r="K663" s="2162"/>
      <c r="L663" s="2162"/>
      <c r="M663" s="2162"/>
      <c r="N663" s="2162"/>
      <c r="O663" s="2162"/>
      <c r="P663" s="2162"/>
      <c r="Q663" s="2162"/>
      <c r="R663" s="2162"/>
      <c r="T663" s="35"/>
      <c r="U663" s="12" t="s">
        <v>617</v>
      </c>
      <c r="Z663" s="1934" t="s">
        <v>2501</v>
      </c>
      <c r="AA663" s="1935"/>
      <c r="AB663" s="1935"/>
      <c r="AC663" s="1935"/>
      <c r="AD663" s="1935"/>
      <c r="AE663" s="1935"/>
      <c r="AF663" s="1935"/>
      <c r="AG663" s="1935"/>
      <c r="AH663" s="1935"/>
      <c r="AI663" s="1935"/>
      <c r="AJ663" s="1935"/>
      <c r="AK663" s="1935"/>
      <c r="AZ663" s="61"/>
      <c r="BA663" s="61"/>
      <c r="BB663" s="61"/>
      <c r="BC663" s="61"/>
      <c r="BD663" s="61"/>
      <c r="BE663" s="61"/>
      <c r="BF663" s="61"/>
      <c r="BG663" s="61"/>
      <c r="BH663" s="61"/>
      <c r="BI663" s="61"/>
      <c r="BJ663" s="61"/>
      <c r="BK663" s="61"/>
      <c r="BL663" s="61"/>
      <c r="BM663" s="61"/>
      <c r="BN663" s="1911">
        <f>BN635+BN644+BN658</f>
        <v>0</v>
      </c>
      <c r="BO663" s="1912"/>
      <c r="BP663" s="1912"/>
      <c r="BQ663" s="1912"/>
      <c r="BR663" s="1913"/>
      <c r="BS663" s="1911">
        <f>BS635+BS644+BS658</f>
        <v>4</v>
      </c>
      <c r="BT663" s="1912"/>
      <c r="BU663" s="1912"/>
      <c r="BV663" s="1912"/>
      <c r="BW663" s="1913"/>
      <c r="BX663" s="1911">
        <f>BX635+BX644+BX658</f>
        <v>30</v>
      </c>
      <c r="BY663" s="1912"/>
      <c r="BZ663" s="1912"/>
      <c r="CA663" s="1912"/>
      <c r="CB663" s="1913"/>
      <c r="CC663" s="1911">
        <f>CC635+CC644+CC658</f>
        <v>32</v>
      </c>
      <c r="CD663" s="1912"/>
      <c r="CE663" s="1912"/>
      <c r="CF663" s="1912"/>
      <c r="CG663" s="1913"/>
      <c r="CH663" s="1911">
        <f>CH635+CH644+CH658</f>
        <v>0</v>
      </c>
      <c r="CI663" s="1912"/>
      <c r="CJ663" s="1912"/>
      <c r="CK663" s="1912"/>
      <c r="CL663" s="1913"/>
      <c r="CM663" s="1917">
        <f>CM658+CM644+CM635</f>
        <v>0</v>
      </c>
      <c r="CN663" s="1918"/>
      <c r="CO663" s="1918"/>
      <c r="CP663" s="1918"/>
      <c r="CQ663" s="1919"/>
      <c r="CR663" s="177"/>
      <c r="CS663" s="1391">
        <f>CS637+CS661</f>
        <v>157</v>
      </c>
      <c r="CT663" s="134" t="s">
        <v>2475</v>
      </c>
      <c r="CU663" s="58"/>
      <c r="CV663" s="58"/>
      <c r="CW663" s="58"/>
      <c r="CX663" s="58"/>
      <c r="CY663" s="58"/>
      <c r="CZ663" s="58"/>
      <c r="DA663" s="58"/>
      <c r="DB663" s="58"/>
      <c r="DC663" s="58"/>
      <c r="DD663" s="58"/>
      <c r="DE663" s="58"/>
      <c r="DF663" s="58"/>
      <c r="DX663" s="1897">
        <f>SUMIF(DX638:EB662,"&gt;0")</f>
        <v>0</v>
      </c>
      <c r="DY663" s="1897"/>
      <c r="DZ663" s="1897"/>
      <c r="EA663" s="1897"/>
      <c r="EB663" s="1897"/>
      <c r="EC663" s="1897">
        <f>SUMIF(EC638:EG662,"&gt;0")</f>
        <v>739.5</v>
      </c>
      <c r="ED663" s="1897"/>
      <c r="EE663" s="1897"/>
      <c r="EF663" s="1897"/>
      <c r="EG663" s="1897"/>
      <c r="EH663" s="1897">
        <f>SUMIF(EH638:EL662,"&gt;0")</f>
        <v>1084.2666666666667</v>
      </c>
      <c r="EI663" s="1897"/>
      <c r="EJ663" s="1897"/>
      <c r="EK663" s="1897"/>
      <c r="EL663" s="1897"/>
      <c r="EM663" s="1897">
        <f>SUMIF(EM638:EQ662,"&gt;0")</f>
        <v>1260.8709677419356</v>
      </c>
      <c r="EN663" s="1897"/>
      <c r="EO663" s="1897"/>
      <c r="EP663" s="1897"/>
      <c r="EQ663" s="1897"/>
      <c r="ER663" s="1897">
        <f>SUMIF(ER638:EV662,"&gt;0")</f>
        <v>0</v>
      </c>
      <c r="ES663" s="1897"/>
      <c r="ET663" s="1897"/>
      <c r="EU663" s="1897"/>
      <c r="EV663" s="1897"/>
      <c r="EW663" s="1897">
        <f>SUMIF(EW638:FA662,"&gt;0")</f>
        <v>0</v>
      </c>
      <c r="EX663" s="1897"/>
      <c r="EY663" s="1897"/>
      <c r="EZ663" s="1897"/>
      <c r="FA663" s="1897"/>
    </row>
    <row r="664" spans="1:157" ht="12.75">
      <c r="A664" s="35"/>
      <c r="B664" s="12" t="s">
        <v>17</v>
      </c>
      <c r="G664" s="1932" t="s">
        <v>2553</v>
      </c>
      <c r="H664" s="2162"/>
      <c r="I664" s="2162"/>
      <c r="J664" s="2162"/>
      <c r="K664" s="2162"/>
      <c r="L664" s="2162"/>
      <c r="M664" s="2162"/>
      <c r="N664" s="2162"/>
      <c r="O664" s="2162"/>
      <c r="P664" s="2162"/>
      <c r="Q664" s="2162"/>
      <c r="R664" s="2162"/>
      <c r="T664" s="35"/>
      <c r="U664" s="12" t="s">
        <v>17</v>
      </c>
      <c r="Z664" s="1934" t="s">
        <v>2590</v>
      </c>
      <c r="AA664" s="1935"/>
      <c r="AB664" s="1935"/>
      <c r="AC664" s="1935"/>
      <c r="AD664" s="1935"/>
      <c r="AE664" s="1935"/>
      <c r="AF664" s="1935"/>
      <c r="AG664" s="1935"/>
      <c r="AH664" s="1935"/>
      <c r="AI664" s="1935"/>
      <c r="AJ664" s="1935"/>
      <c r="AK664" s="193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157">
        <v>8317555508</v>
      </c>
      <c r="H665" s="2157"/>
      <c r="I665" s="2157"/>
      <c r="J665" s="2157"/>
      <c r="K665" s="2157"/>
      <c r="L665" s="2157"/>
      <c r="O665" s="137" t="s">
        <v>212</v>
      </c>
      <c r="P665" s="1958"/>
      <c r="Q665" s="1958"/>
      <c r="R665" s="1958"/>
      <c r="T665" s="35"/>
      <c r="U665" s="12" t="s">
        <v>327</v>
      </c>
      <c r="Z665" s="2157">
        <v>8317576251</v>
      </c>
      <c r="AA665" s="2157"/>
      <c r="AB665" s="2157"/>
      <c r="AC665" s="2157"/>
      <c r="AD665" s="2157"/>
      <c r="AE665" s="2157"/>
      <c r="AH665" s="137" t="s">
        <v>212</v>
      </c>
      <c r="AI665" s="1958">
        <v>130</v>
      </c>
      <c r="AJ665" s="1958"/>
      <c r="AK665" s="19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1934" t="s">
        <v>2555</v>
      </c>
      <c r="I666" s="1935"/>
      <c r="J666" s="1935"/>
      <c r="K666" s="1935"/>
      <c r="L666" s="1935"/>
      <c r="M666" s="1935"/>
      <c r="N666" s="1935"/>
      <c r="O666" s="1935"/>
      <c r="P666" s="1935"/>
      <c r="Q666" s="1935"/>
      <c r="R666" s="1935"/>
      <c r="T666" s="35"/>
      <c r="U666" s="12" t="s">
        <v>18</v>
      </c>
      <c r="AA666" s="1934" t="s">
        <v>2555</v>
      </c>
      <c r="AB666" s="1935"/>
      <c r="AC666" s="1935"/>
      <c r="AD666" s="1935"/>
      <c r="AE666" s="1935"/>
      <c r="AF666" s="1935"/>
      <c r="AG666" s="1935"/>
      <c r="AH666" s="1935"/>
      <c r="AI666" s="1935"/>
      <c r="AJ666" s="1935"/>
      <c r="AK666" s="1935"/>
      <c r="AZ666" s="58"/>
      <c r="BA666" s="58"/>
      <c r="BB666" s="58"/>
      <c r="BC666" s="58"/>
      <c r="BD666" s="58"/>
      <c r="BE666" s="58"/>
      <c r="BF666" s="58"/>
      <c r="BG666" s="58"/>
      <c r="BH666" s="58"/>
      <c r="BI666" s="58"/>
      <c r="BJ666" s="58"/>
      <c r="BK666" s="58"/>
      <c r="BL666" s="58"/>
      <c r="BM666" s="58"/>
      <c r="BN666" s="58"/>
      <c r="BO666" s="58"/>
      <c r="BP666" s="307" t="s">
        <v>1572</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1961" t="s">
        <v>580</v>
      </c>
      <c r="O667" s="1961"/>
      <c r="T667" s="35"/>
      <c r="U667" s="12" t="s">
        <v>20</v>
      </c>
      <c r="AG667" s="1961" t="s">
        <v>580</v>
      </c>
      <c r="AH667" s="1961"/>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156" t="str">
        <f>C641</f>
        <v xml:space="preserve">Century Communities (GP Equity) </v>
      </c>
      <c r="H669" s="2156"/>
      <c r="I669" s="2156"/>
      <c r="J669" s="2156"/>
      <c r="K669" s="2156"/>
      <c r="L669" s="2156"/>
      <c r="M669" s="2156"/>
      <c r="N669" s="2156"/>
      <c r="O669" s="2156"/>
      <c r="P669" s="2156"/>
      <c r="Q669" s="2156"/>
      <c r="R669" s="2156"/>
      <c r="T669" s="87" t="s">
        <v>621</v>
      </c>
      <c r="U669" s="12" t="s">
        <v>498</v>
      </c>
      <c r="Z669" s="2156" t="str">
        <f>C642</f>
        <v>Deferred developer fee</v>
      </c>
      <c r="AA669" s="2156"/>
      <c r="AB669" s="2156"/>
      <c r="AC669" s="2156"/>
      <c r="AD669" s="2156"/>
      <c r="AE669" s="2156"/>
      <c r="AF669" s="2156"/>
      <c r="AG669" s="2156"/>
      <c r="AH669" s="2156"/>
      <c r="AI669" s="2156"/>
      <c r="AJ669" s="2156"/>
      <c r="AK669" s="2156"/>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35" t="s">
        <v>2592</v>
      </c>
      <c r="H670" s="1935"/>
      <c r="I670" s="1935"/>
      <c r="J670" s="1935"/>
      <c r="K670" s="1935"/>
      <c r="L670" s="1935"/>
      <c r="M670" s="1935"/>
      <c r="N670" s="1935"/>
      <c r="O670" s="1935"/>
      <c r="P670" s="1935"/>
      <c r="Q670" s="1935"/>
      <c r="R670" s="1935"/>
      <c r="T670" s="35"/>
      <c r="U670" s="12" t="s">
        <v>90</v>
      </c>
      <c r="Z670" s="1934" t="s">
        <v>2490</v>
      </c>
      <c r="AA670" s="1935"/>
      <c r="AB670" s="1935"/>
      <c r="AC670" s="1935"/>
      <c r="AD670" s="1935"/>
      <c r="AE670" s="1935"/>
      <c r="AF670" s="1935"/>
      <c r="AG670" s="1935"/>
      <c r="AH670" s="1935"/>
      <c r="AI670" s="1935"/>
      <c r="AJ670" s="1935"/>
      <c r="AK670" s="1935"/>
      <c r="AZ670" s="58"/>
      <c r="BA670" s="447">
        <f t="shared" ref="BA670:BA694" si="40">IF($G728=0,"N/A",VLOOKUP($T$189,TC_Rent,(MATCH($B728,bedrooms,FALSE))))</f>
        <v>1818</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1935" t="s">
        <v>2540</v>
      </c>
      <c r="H671" s="1935"/>
      <c r="I671" s="1935"/>
      <c r="J671" s="1935"/>
      <c r="K671" s="1935"/>
      <c r="L671" s="1935"/>
      <c r="M671" s="1935"/>
      <c r="N671" s="1935"/>
      <c r="O671" s="1935"/>
      <c r="P671" s="1935"/>
      <c r="Q671" s="1935"/>
      <c r="R671" s="1935"/>
      <c r="T671" s="35"/>
      <c r="U671" s="12" t="s">
        <v>617</v>
      </c>
      <c r="Z671" s="1934" t="s">
        <v>2501</v>
      </c>
      <c r="AA671" s="1935"/>
      <c r="AB671" s="1935"/>
      <c r="AC671" s="1935"/>
      <c r="AD671" s="1935"/>
      <c r="AE671" s="1935"/>
      <c r="AF671" s="1935"/>
      <c r="AG671" s="1935"/>
      <c r="AH671" s="1935"/>
      <c r="AI671" s="1935"/>
      <c r="AJ671" s="1935"/>
      <c r="AK671" s="1935"/>
      <c r="AZ671" s="58"/>
      <c r="BA671" s="447">
        <f t="shared" si="40"/>
        <v>1818</v>
      </c>
      <c r="BB671" s="58"/>
      <c r="BC671" s="58"/>
      <c r="BD671" s="58"/>
      <c r="BE671" s="58"/>
      <c r="BF671" s="383"/>
      <c r="BG671" s="457">
        <f t="shared" ref="BG671:BG695" si="41">G728</f>
        <v>1</v>
      </c>
      <c r="BH671" s="461">
        <f>BG671/$BG$696</f>
        <v>1.5384615384615385E-2</v>
      </c>
      <c r="BI671" s="462">
        <f t="shared" ref="BI671:BI695" si="42">IF(BH671=0," ",BH671*AH728)</f>
        <v>4.6153846153846158E-3</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35" t="s">
        <v>2593</v>
      </c>
      <c r="H672" s="1935"/>
      <c r="I672" s="1935"/>
      <c r="J672" s="1935"/>
      <c r="K672" s="1935"/>
      <c r="L672" s="1935"/>
      <c r="M672" s="1935"/>
      <c r="N672" s="1935"/>
      <c r="O672" s="1935"/>
      <c r="P672" s="1935"/>
      <c r="Q672" s="1935"/>
      <c r="R672" s="1935"/>
      <c r="T672" s="35"/>
      <c r="U672" s="12" t="s">
        <v>17</v>
      </c>
      <c r="Z672" s="1934" t="s">
        <v>2590</v>
      </c>
      <c r="AA672" s="1935"/>
      <c r="AB672" s="1935"/>
      <c r="AC672" s="1935"/>
      <c r="AD672" s="1935"/>
      <c r="AE672" s="1935"/>
      <c r="AF672" s="1935"/>
      <c r="AG672" s="1935"/>
      <c r="AH672" s="1935"/>
      <c r="AI672" s="1935"/>
      <c r="AJ672" s="1935"/>
      <c r="AK672" s="1935"/>
      <c r="AZ672" s="58"/>
      <c r="BA672" s="447">
        <f t="shared" si="40"/>
        <v>1818</v>
      </c>
      <c r="BB672" s="58"/>
      <c r="BC672" s="58"/>
      <c r="BD672" s="58"/>
      <c r="BE672" s="58"/>
      <c r="BF672" s="383"/>
      <c r="BG672" s="458">
        <f t="shared" si="41"/>
        <v>2</v>
      </c>
      <c r="BH672" s="461">
        <f t="shared" ref="BH672:BH695" si="43">BG672/$BG$696</f>
        <v>3.0769230769230771E-2</v>
      </c>
      <c r="BI672" s="462">
        <f t="shared" si="42"/>
        <v>1.5384615384615385E-2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157">
        <v>4082079410</v>
      </c>
      <c r="H673" s="2157"/>
      <c r="I673" s="2157"/>
      <c r="J673" s="2157"/>
      <c r="K673" s="2157"/>
      <c r="L673" s="2157"/>
      <c r="O673" s="137" t="s">
        <v>212</v>
      </c>
      <c r="P673" s="1958"/>
      <c r="Q673" s="1958"/>
      <c r="R673" s="1958"/>
      <c r="T673" s="35"/>
      <c r="U673" s="12" t="s">
        <v>327</v>
      </c>
      <c r="Z673" s="2157">
        <v>8317576251</v>
      </c>
      <c r="AA673" s="2157"/>
      <c r="AB673" s="2157"/>
      <c r="AC673" s="2157"/>
      <c r="AD673" s="2157"/>
      <c r="AE673" s="2157"/>
      <c r="AH673" s="137" t="s">
        <v>212</v>
      </c>
      <c r="AI673" s="1958">
        <v>136</v>
      </c>
      <c r="AJ673" s="1958"/>
      <c r="AK673" s="1958"/>
      <c r="AZ673" s="58"/>
      <c r="BA673" s="447">
        <f t="shared" si="40"/>
        <v>2182</v>
      </c>
      <c r="BB673" s="58"/>
      <c r="BC673" s="58"/>
      <c r="BD673" s="58"/>
      <c r="BE673" s="58"/>
      <c r="BF673" s="383"/>
      <c r="BG673" s="458">
        <f t="shared" si="41"/>
        <v>1</v>
      </c>
      <c r="BH673" s="461">
        <f t="shared" si="43"/>
        <v>1.5384615384615385E-2</v>
      </c>
      <c r="BI673" s="462">
        <f t="shared" si="42"/>
        <v>9.2307692307692316E-3</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34" t="s">
        <v>2555</v>
      </c>
      <c r="I674" s="1935"/>
      <c r="J674" s="1935"/>
      <c r="K674" s="1935"/>
      <c r="L674" s="1935"/>
      <c r="M674" s="1935"/>
      <c r="N674" s="1935"/>
      <c r="O674" s="1935"/>
      <c r="P674" s="1935"/>
      <c r="Q674" s="1935"/>
      <c r="R674" s="1935"/>
      <c r="T674" s="35"/>
      <c r="U674" s="12" t="s">
        <v>18</v>
      </c>
      <c r="AA674" s="1934" t="s">
        <v>2555</v>
      </c>
      <c r="AB674" s="1935"/>
      <c r="AC674" s="1935"/>
      <c r="AD674" s="1935"/>
      <c r="AE674" s="1935"/>
      <c r="AF674" s="1935"/>
      <c r="AG674" s="1935"/>
      <c r="AH674" s="1935"/>
      <c r="AI674" s="1935"/>
      <c r="AJ674" s="1935"/>
      <c r="AK674" s="1935"/>
      <c r="AZ674" s="58"/>
      <c r="BA674" s="447">
        <f t="shared" si="40"/>
        <v>2182</v>
      </c>
      <c r="BB674" s="58"/>
      <c r="BC674" s="58"/>
      <c r="BD674" s="58"/>
      <c r="BE674" s="58"/>
      <c r="BF674" s="383"/>
      <c r="BG674" s="458">
        <f t="shared" si="41"/>
        <v>3</v>
      </c>
      <c r="BH674" s="461">
        <f t="shared" si="43"/>
        <v>4.6153846153846156E-2</v>
      </c>
      <c r="BI674" s="462">
        <f t="shared" si="42"/>
        <v>1.3846153846153847E-2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61" t="s">
        <v>580</v>
      </c>
      <c r="O675" s="1961"/>
      <c r="T675" s="35"/>
      <c r="U675" s="12" t="s">
        <v>20</v>
      </c>
      <c r="AG675" s="1961" t="s">
        <v>580</v>
      </c>
      <c r="AH675" s="1961"/>
      <c r="AZ675" s="58"/>
      <c r="BA675" s="447">
        <f t="shared" si="40"/>
        <v>2182</v>
      </c>
      <c r="BB675" s="58"/>
      <c r="BC675" s="58"/>
      <c r="BD675" s="58"/>
      <c r="BE675" s="58"/>
      <c r="BF675" s="383"/>
      <c r="BG675" s="458">
        <f t="shared" si="41"/>
        <v>12</v>
      </c>
      <c r="BH675" s="461">
        <f t="shared" si="43"/>
        <v>0.18461538461538463</v>
      </c>
      <c r="BI675" s="462">
        <f t="shared" si="42"/>
        <v>9.2307692307692313E-2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2182</v>
      </c>
      <c r="BB676" s="58"/>
      <c r="BC676" s="58"/>
      <c r="BD676" s="58"/>
      <c r="BE676" s="58"/>
      <c r="BF676" s="383"/>
      <c r="BG676" s="458">
        <f t="shared" si="41"/>
        <v>8</v>
      </c>
      <c r="BH676" s="461">
        <f t="shared" si="43"/>
        <v>0.12307692307692308</v>
      </c>
      <c r="BI676" s="462">
        <f t="shared" si="42"/>
        <v>7.3846153846153853E-2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156" t="str">
        <f>C643</f>
        <v xml:space="preserve">GP equity </v>
      </c>
      <c r="H677" s="2156"/>
      <c r="I677" s="2156"/>
      <c r="J677" s="2156"/>
      <c r="K677" s="2156"/>
      <c r="L677" s="2156"/>
      <c r="M677" s="2156"/>
      <c r="N677" s="2156"/>
      <c r="O677" s="2156"/>
      <c r="P677" s="2156"/>
      <c r="Q677" s="2156"/>
      <c r="R677" s="2156"/>
      <c r="T677" s="87" t="s">
        <v>490</v>
      </c>
      <c r="U677" s="12" t="s">
        <v>498</v>
      </c>
      <c r="Z677" s="2156" t="str">
        <f>C644</f>
        <v>LP equity PV credit</v>
      </c>
      <c r="AA677" s="2156"/>
      <c r="AB677" s="2156"/>
      <c r="AC677" s="2156"/>
      <c r="AD677" s="2156"/>
      <c r="AE677" s="2156"/>
      <c r="AF677" s="2156"/>
      <c r="AG677" s="2156"/>
      <c r="AH677" s="2156"/>
      <c r="AI677" s="2156"/>
      <c r="AJ677" s="2156"/>
      <c r="AK677" s="2156"/>
      <c r="AZ677" s="58"/>
      <c r="BA677" s="447">
        <f t="shared" si="40"/>
        <v>2520</v>
      </c>
      <c r="BB677" s="58"/>
      <c r="BC677" s="58"/>
      <c r="BD677" s="58"/>
      <c r="BE677" s="58"/>
      <c r="BF677" s="383"/>
      <c r="BG677" s="458">
        <f t="shared" si="41"/>
        <v>7</v>
      </c>
      <c r="BH677" s="461">
        <f t="shared" si="43"/>
        <v>0.1076923076923077</v>
      </c>
      <c r="BI677" s="462">
        <f t="shared" si="42"/>
        <v>8.6153846153846164E-2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34" t="s">
        <v>2490</v>
      </c>
      <c r="H678" s="1935"/>
      <c r="I678" s="1935"/>
      <c r="J678" s="1935"/>
      <c r="K678" s="1935"/>
      <c r="L678" s="1935"/>
      <c r="M678" s="1935"/>
      <c r="N678" s="1935"/>
      <c r="O678" s="1935"/>
      <c r="P678" s="1935"/>
      <c r="Q678" s="1935"/>
      <c r="R678" s="1935"/>
      <c r="T678" s="35"/>
      <c r="U678" s="12" t="s">
        <v>90</v>
      </c>
      <c r="Z678" s="1935"/>
      <c r="AA678" s="1935"/>
      <c r="AB678" s="1935"/>
      <c r="AC678" s="1935"/>
      <c r="AD678" s="1935"/>
      <c r="AE678" s="1935"/>
      <c r="AF678" s="1935"/>
      <c r="AG678" s="1935"/>
      <c r="AH678" s="1935"/>
      <c r="AI678" s="1935"/>
      <c r="AJ678" s="1935"/>
      <c r="AK678" s="1935"/>
      <c r="AZ678" s="58"/>
      <c r="BA678" s="447">
        <f t="shared" si="40"/>
        <v>2520</v>
      </c>
      <c r="BB678" s="58"/>
      <c r="BC678" s="58"/>
      <c r="BD678" s="58"/>
      <c r="BE678" s="58"/>
      <c r="BF678" s="383"/>
      <c r="BG678" s="458">
        <f t="shared" si="41"/>
        <v>3</v>
      </c>
      <c r="BH678" s="461">
        <f t="shared" si="43"/>
        <v>4.6153846153846156E-2</v>
      </c>
      <c r="BI678" s="462">
        <f t="shared" si="42"/>
        <v>1.3846153846153847E-2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1934" t="s">
        <v>2501</v>
      </c>
      <c r="H679" s="1935"/>
      <c r="I679" s="1935"/>
      <c r="J679" s="1935"/>
      <c r="K679" s="1935"/>
      <c r="L679" s="1935"/>
      <c r="M679" s="1935"/>
      <c r="N679" s="1935"/>
      <c r="O679" s="1935"/>
      <c r="P679" s="1935"/>
      <c r="Q679" s="1935"/>
      <c r="R679" s="1935"/>
      <c r="T679" s="35"/>
      <c r="U679" s="12" t="s">
        <v>617</v>
      </c>
      <c r="Z679" s="2162"/>
      <c r="AA679" s="2162"/>
      <c r="AB679" s="2162"/>
      <c r="AC679" s="2162"/>
      <c r="AD679" s="2162"/>
      <c r="AE679" s="2162"/>
      <c r="AF679" s="2162"/>
      <c r="AG679" s="2162"/>
      <c r="AH679" s="2162"/>
      <c r="AI679" s="2162"/>
      <c r="AJ679" s="2162"/>
      <c r="AK679" s="2162"/>
      <c r="AZ679" s="58"/>
      <c r="BA679" s="447">
        <f t="shared" si="40"/>
        <v>2520</v>
      </c>
      <c r="BB679" s="58"/>
      <c r="BC679" s="58"/>
      <c r="BD679" s="58"/>
      <c r="BE679" s="58"/>
      <c r="BF679" s="383"/>
      <c r="BG679" s="458">
        <f t="shared" si="41"/>
        <v>10</v>
      </c>
      <c r="BH679" s="461">
        <f t="shared" si="43"/>
        <v>0.15384615384615385</v>
      </c>
      <c r="BI679" s="462">
        <f t="shared" si="42"/>
        <v>7.6923076923076927E-2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34" t="s">
        <v>2590</v>
      </c>
      <c r="H680" s="1935"/>
      <c r="I680" s="1935"/>
      <c r="J680" s="1935"/>
      <c r="K680" s="1935"/>
      <c r="L680" s="1935"/>
      <c r="M680" s="1935"/>
      <c r="N680" s="1935"/>
      <c r="O680" s="1935"/>
      <c r="P680" s="1935"/>
      <c r="Q680" s="1935"/>
      <c r="R680" s="1935"/>
      <c r="T680" s="35"/>
      <c r="U680" s="12" t="s">
        <v>17</v>
      </c>
      <c r="Z680" s="2162"/>
      <c r="AA680" s="2162"/>
      <c r="AB680" s="2162"/>
      <c r="AC680" s="2162"/>
      <c r="AD680" s="2162"/>
      <c r="AE680" s="2162"/>
      <c r="AF680" s="2162"/>
      <c r="AG680" s="2162"/>
      <c r="AH680" s="2162"/>
      <c r="AI680" s="2162"/>
      <c r="AJ680" s="2162"/>
      <c r="AK680" s="2162"/>
      <c r="AZ680" s="58"/>
      <c r="BA680" s="447">
        <f t="shared" si="40"/>
        <v>2520</v>
      </c>
      <c r="BB680" s="58"/>
      <c r="BC680" s="58"/>
      <c r="BD680" s="58"/>
      <c r="BE680" s="58"/>
      <c r="BF680" s="383"/>
      <c r="BG680" s="458">
        <f t="shared" si="41"/>
        <v>9</v>
      </c>
      <c r="BH680" s="461">
        <f t="shared" si="43"/>
        <v>0.13846153846153847</v>
      </c>
      <c r="BI680" s="462">
        <f t="shared" si="42"/>
        <v>8.3076923076923076E-2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157">
        <v>8317576251</v>
      </c>
      <c r="H681" s="2157"/>
      <c r="I681" s="2157"/>
      <c r="J681" s="2157"/>
      <c r="K681" s="2157"/>
      <c r="L681" s="2157"/>
      <c r="O681" s="137" t="s">
        <v>212</v>
      </c>
      <c r="P681" s="1958">
        <v>130</v>
      </c>
      <c r="Q681" s="1958"/>
      <c r="R681" s="1958"/>
      <c r="T681" s="35"/>
      <c r="U681" s="12" t="s">
        <v>327</v>
      </c>
      <c r="Z681" s="2157"/>
      <c r="AA681" s="2157"/>
      <c r="AB681" s="2157"/>
      <c r="AC681" s="2157"/>
      <c r="AD681" s="2157"/>
      <c r="AE681" s="2157"/>
      <c r="AH681" s="137" t="s">
        <v>212</v>
      </c>
      <c r="AI681" s="1958"/>
      <c r="AJ681" s="1958"/>
      <c r="AK681" s="1958"/>
      <c r="AZ681" s="58"/>
      <c r="BA681" s="447" t="str">
        <f t="shared" si="40"/>
        <v>N/A</v>
      </c>
      <c r="BB681" s="58"/>
      <c r="BC681" s="58"/>
      <c r="BD681" s="58"/>
      <c r="BE681" s="58"/>
      <c r="BF681" s="383"/>
      <c r="BG681" s="458">
        <f t="shared" si="41"/>
        <v>9</v>
      </c>
      <c r="BH681" s="461">
        <f t="shared" si="43"/>
        <v>0.13846153846153847</v>
      </c>
      <c r="BI681" s="462">
        <f t="shared" si="42"/>
        <v>0.11076923076923079</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34" t="s">
        <v>2555</v>
      </c>
      <c r="I682" s="1935"/>
      <c r="J682" s="1935"/>
      <c r="K682" s="1935"/>
      <c r="L682" s="1935"/>
      <c r="M682" s="1935"/>
      <c r="N682" s="1935"/>
      <c r="O682" s="1935"/>
      <c r="P682" s="1935"/>
      <c r="Q682" s="1935"/>
      <c r="R682" s="1935"/>
      <c r="T682" s="35"/>
      <c r="U682" s="12" t="s">
        <v>18</v>
      </c>
      <c r="AA682" s="1934" t="s">
        <v>2555</v>
      </c>
      <c r="AB682" s="1935"/>
      <c r="AC682" s="1935"/>
      <c r="AD682" s="1935"/>
      <c r="AE682" s="1935"/>
      <c r="AF682" s="1935"/>
      <c r="AG682" s="1935"/>
      <c r="AH682" s="1935"/>
      <c r="AI682" s="1935"/>
      <c r="AJ682" s="1935"/>
      <c r="AK682" s="1935"/>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61" t="s">
        <v>580</v>
      </c>
      <c r="O683" s="1961"/>
      <c r="T683" s="35"/>
      <c r="U683" s="12" t="s">
        <v>20</v>
      </c>
      <c r="AG683" s="1961" t="s">
        <v>708</v>
      </c>
      <c r="AH683" s="1961"/>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156">
        <f>C645</f>
        <v>0</v>
      </c>
      <c r="H685" s="2156"/>
      <c r="I685" s="2156"/>
      <c r="J685" s="2156"/>
      <c r="K685" s="2156"/>
      <c r="L685" s="2156"/>
      <c r="M685" s="2156"/>
      <c r="N685" s="2156"/>
      <c r="O685" s="2156"/>
      <c r="P685" s="2156"/>
      <c r="Q685" s="2156"/>
      <c r="R685" s="2156"/>
      <c r="T685" s="87" t="s">
        <v>683</v>
      </c>
      <c r="U685" s="12" t="s">
        <v>498</v>
      </c>
      <c r="Z685" s="2156">
        <f>C646</f>
        <v>0</v>
      </c>
      <c r="AA685" s="2156"/>
      <c r="AB685" s="2156"/>
      <c r="AC685" s="2156"/>
      <c r="AD685" s="2156"/>
      <c r="AE685" s="2156"/>
      <c r="AF685" s="2156"/>
      <c r="AG685" s="2156"/>
      <c r="AH685" s="2156"/>
      <c r="AI685" s="2156"/>
      <c r="AJ685" s="2156"/>
      <c r="AK685" s="2156"/>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35"/>
      <c r="H686" s="1935"/>
      <c r="I686" s="1935"/>
      <c r="J686" s="1935"/>
      <c r="K686" s="1935"/>
      <c r="L686" s="1935"/>
      <c r="M686" s="1935"/>
      <c r="N686" s="1935"/>
      <c r="O686" s="1935"/>
      <c r="P686" s="1935"/>
      <c r="Q686" s="1935"/>
      <c r="R686" s="1935"/>
      <c r="T686" s="35"/>
      <c r="U686" s="12" t="s">
        <v>90</v>
      </c>
      <c r="Z686" s="1935"/>
      <c r="AA686" s="1935"/>
      <c r="AB686" s="1935"/>
      <c r="AC686" s="1935"/>
      <c r="AD686" s="1935"/>
      <c r="AE686" s="1935"/>
      <c r="AF686" s="1935"/>
      <c r="AG686" s="1935"/>
      <c r="AH686" s="1935"/>
      <c r="AI686" s="1935"/>
      <c r="AJ686" s="1935"/>
      <c r="AK686" s="1935"/>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1935"/>
      <c r="H687" s="1935"/>
      <c r="I687" s="1935"/>
      <c r="J687" s="1935"/>
      <c r="K687" s="1935"/>
      <c r="L687" s="1935"/>
      <c r="M687" s="1935"/>
      <c r="N687" s="1935"/>
      <c r="O687" s="1935"/>
      <c r="P687" s="1935"/>
      <c r="Q687" s="1935"/>
      <c r="R687" s="1935"/>
      <c r="T687" s="35"/>
      <c r="U687" s="12" t="s">
        <v>617</v>
      </c>
      <c r="Z687" s="2162"/>
      <c r="AA687" s="2162"/>
      <c r="AB687" s="2162"/>
      <c r="AC687" s="2162"/>
      <c r="AD687" s="2162"/>
      <c r="AE687" s="2162"/>
      <c r="AF687" s="2162"/>
      <c r="AG687" s="2162"/>
      <c r="AH687" s="2162"/>
      <c r="AI687" s="2162"/>
      <c r="AJ687" s="2162"/>
      <c r="AK687" s="2162"/>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35"/>
      <c r="H688" s="1935"/>
      <c r="I688" s="1935"/>
      <c r="J688" s="1935"/>
      <c r="K688" s="1935"/>
      <c r="L688" s="1935"/>
      <c r="M688" s="1935"/>
      <c r="N688" s="1935"/>
      <c r="O688" s="1935"/>
      <c r="P688" s="1935"/>
      <c r="Q688" s="1935"/>
      <c r="R688" s="1935"/>
      <c r="T688" s="35"/>
      <c r="U688" s="12" t="s">
        <v>17</v>
      </c>
      <c r="Z688" s="2162"/>
      <c r="AA688" s="2162"/>
      <c r="AB688" s="2162"/>
      <c r="AC688" s="2162"/>
      <c r="AD688" s="2162"/>
      <c r="AE688" s="2162"/>
      <c r="AF688" s="2162"/>
      <c r="AG688" s="2162"/>
      <c r="AH688" s="2162"/>
      <c r="AI688" s="2162"/>
      <c r="AJ688" s="2162"/>
      <c r="AK688" s="2162"/>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157"/>
      <c r="H689" s="2157"/>
      <c r="I689" s="2157"/>
      <c r="J689" s="2157"/>
      <c r="K689" s="2157"/>
      <c r="L689" s="2157"/>
      <c r="O689" s="137" t="s">
        <v>212</v>
      </c>
      <c r="P689" s="1958"/>
      <c r="Q689" s="1958"/>
      <c r="R689" s="1958"/>
      <c r="T689" s="35"/>
      <c r="U689" s="12" t="s">
        <v>327</v>
      </c>
      <c r="Z689" s="2157"/>
      <c r="AA689" s="2157"/>
      <c r="AB689" s="2157"/>
      <c r="AC689" s="2157"/>
      <c r="AD689" s="2157"/>
      <c r="AE689" s="2157"/>
      <c r="AH689" s="137" t="s">
        <v>212</v>
      </c>
      <c r="AI689" s="1958"/>
      <c r="AJ689" s="1958"/>
      <c r="AK689" s="1958"/>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35"/>
      <c r="I690" s="1935"/>
      <c r="J690" s="1935"/>
      <c r="K690" s="1935"/>
      <c r="L690" s="1935"/>
      <c r="M690" s="1935"/>
      <c r="N690" s="1935"/>
      <c r="O690" s="1935"/>
      <c r="P690" s="1935"/>
      <c r="Q690" s="1935"/>
      <c r="R690" s="1935"/>
      <c r="T690" s="35"/>
      <c r="U690" s="12" t="s">
        <v>18</v>
      </c>
      <c r="AA690" s="1935"/>
      <c r="AB690" s="1935"/>
      <c r="AC690" s="1935"/>
      <c r="AD690" s="1935"/>
      <c r="AE690" s="1935"/>
      <c r="AF690" s="1935"/>
      <c r="AG690" s="1935"/>
      <c r="AH690" s="1935"/>
      <c r="AI690" s="1935"/>
      <c r="AJ690" s="1935"/>
      <c r="AK690" s="1935"/>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61" t="s">
        <v>708</v>
      </c>
      <c r="O691" s="1961"/>
      <c r="T691" s="35"/>
      <c r="U691" s="12" t="s">
        <v>20</v>
      </c>
      <c r="AG691" s="1961" t="s">
        <v>708</v>
      </c>
      <c r="AH691" s="1961"/>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156">
        <f>C647</f>
        <v>0</v>
      </c>
      <c r="H693" s="2156"/>
      <c r="I693" s="2156"/>
      <c r="J693" s="2156"/>
      <c r="K693" s="2156"/>
      <c r="L693" s="2156"/>
      <c r="M693" s="2156"/>
      <c r="N693" s="2156"/>
      <c r="O693" s="2156"/>
      <c r="P693" s="2156"/>
      <c r="Q693" s="2156"/>
      <c r="R693" s="2156"/>
      <c r="T693" s="87" t="s">
        <v>375</v>
      </c>
      <c r="U693" s="12" t="s">
        <v>498</v>
      </c>
      <c r="Z693" s="2156">
        <f>C648</f>
        <v>0</v>
      </c>
      <c r="AA693" s="2156"/>
      <c r="AB693" s="2156"/>
      <c r="AC693" s="2156"/>
      <c r="AD693" s="2156"/>
      <c r="AE693" s="2156"/>
      <c r="AF693" s="2156"/>
      <c r="AG693" s="2156"/>
      <c r="AH693" s="2156"/>
      <c r="AI693" s="2156"/>
      <c r="AJ693" s="2156"/>
      <c r="AK693" s="2156"/>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35"/>
      <c r="H694" s="1935"/>
      <c r="I694" s="1935"/>
      <c r="J694" s="1935"/>
      <c r="K694" s="1935"/>
      <c r="L694" s="1935"/>
      <c r="M694" s="1935"/>
      <c r="N694" s="1935"/>
      <c r="O694" s="1935"/>
      <c r="P694" s="1935"/>
      <c r="Q694" s="1935"/>
      <c r="R694" s="1935"/>
      <c r="T694" s="35"/>
      <c r="U694" s="12" t="s">
        <v>90</v>
      </c>
      <c r="Z694" s="1935"/>
      <c r="AA694" s="1935"/>
      <c r="AB694" s="1935"/>
      <c r="AC694" s="1935"/>
      <c r="AD694" s="1935"/>
      <c r="AE694" s="1935"/>
      <c r="AF694" s="1935"/>
      <c r="AG694" s="1935"/>
      <c r="AH694" s="1935"/>
      <c r="AI694" s="1935"/>
      <c r="AJ694" s="1935"/>
      <c r="AK694" s="1935"/>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1935"/>
      <c r="H695" s="1935"/>
      <c r="I695" s="1935"/>
      <c r="J695" s="1935"/>
      <c r="K695" s="1935"/>
      <c r="L695" s="1935"/>
      <c r="M695" s="1935"/>
      <c r="N695" s="1935"/>
      <c r="O695" s="1935"/>
      <c r="P695" s="1935"/>
      <c r="Q695" s="1935"/>
      <c r="R695" s="1935"/>
      <c r="U695" s="12" t="s">
        <v>617</v>
      </c>
      <c r="Z695" s="2162"/>
      <c r="AA695" s="2162"/>
      <c r="AB695" s="2162"/>
      <c r="AC695" s="2162"/>
      <c r="AD695" s="2162"/>
      <c r="AE695" s="2162"/>
      <c r="AF695" s="2162"/>
      <c r="AG695" s="2162"/>
      <c r="AH695" s="2162"/>
      <c r="AI695" s="2162"/>
      <c r="AJ695" s="2162"/>
      <c r="AK695" s="2162"/>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35"/>
      <c r="H696" s="1935"/>
      <c r="I696" s="1935"/>
      <c r="J696" s="1935"/>
      <c r="K696" s="1935"/>
      <c r="L696" s="1935"/>
      <c r="M696" s="1935"/>
      <c r="N696" s="1935"/>
      <c r="O696" s="1935"/>
      <c r="P696" s="1935"/>
      <c r="Q696" s="1935"/>
      <c r="R696" s="1935"/>
      <c r="U696" s="12" t="s">
        <v>17</v>
      </c>
      <c r="Z696" s="2162"/>
      <c r="AA696" s="2162"/>
      <c r="AB696" s="2162"/>
      <c r="AC696" s="2162"/>
      <c r="AD696" s="2162"/>
      <c r="AE696" s="2162"/>
      <c r="AF696" s="2162"/>
      <c r="AG696" s="2162"/>
      <c r="AH696" s="2162"/>
      <c r="AI696" s="2162"/>
      <c r="AJ696" s="2162"/>
      <c r="AK696" s="2162"/>
      <c r="AZ696" s="58"/>
      <c r="BA696" s="58"/>
      <c r="BB696" s="58"/>
      <c r="BC696" s="58"/>
      <c r="BD696" s="58"/>
      <c r="BF696" s="454" t="s">
        <v>972</v>
      </c>
      <c r="BG696" s="463">
        <f>SUM(BG671:BG695)</f>
        <v>65</v>
      </c>
      <c r="BH696" s="464">
        <f>SUM(BH671:BH695)</f>
        <v>1</v>
      </c>
      <c r="BI696" s="464">
        <f>SUM(BI671:BI695)</f>
        <v>0.58000000000000007</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157"/>
      <c r="H697" s="2157"/>
      <c r="I697" s="2157"/>
      <c r="J697" s="2157"/>
      <c r="K697" s="2157"/>
      <c r="L697" s="2157"/>
      <c r="O697" s="137" t="s">
        <v>212</v>
      </c>
      <c r="P697" s="1958"/>
      <c r="Q697" s="1958"/>
      <c r="R697" s="1958"/>
      <c r="U697" s="12" t="s">
        <v>327</v>
      </c>
      <c r="Z697" s="2157"/>
      <c r="AA697" s="2157"/>
      <c r="AB697" s="2157"/>
      <c r="AC697" s="2157"/>
      <c r="AD697" s="2157"/>
      <c r="AE697" s="2157"/>
      <c r="AH697" s="137" t="s">
        <v>212</v>
      </c>
      <c r="AI697" s="1958"/>
      <c r="AJ697" s="1958"/>
      <c r="AK697" s="1958"/>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35"/>
      <c r="I698" s="1935"/>
      <c r="J698" s="1935"/>
      <c r="K698" s="1935"/>
      <c r="L698" s="1935"/>
      <c r="M698" s="1935"/>
      <c r="N698" s="1935"/>
      <c r="O698" s="1935"/>
      <c r="P698" s="1935"/>
      <c r="Q698" s="1935"/>
      <c r="R698" s="1935"/>
      <c r="U698" s="12" t="s">
        <v>18</v>
      </c>
      <c r="AA698" s="1935"/>
      <c r="AB698" s="1935"/>
      <c r="AC698" s="1935"/>
      <c r="AD698" s="1935"/>
      <c r="AE698" s="1935"/>
      <c r="AF698" s="1935"/>
      <c r="AG698" s="1935"/>
      <c r="AH698" s="1935"/>
      <c r="AI698" s="1935"/>
      <c r="AJ698" s="1935"/>
      <c r="AK698" s="1935"/>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61" t="s">
        <v>708</v>
      </c>
      <c r="O699" s="1961"/>
      <c r="U699" s="12" t="s">
        <v>20</v>
      </c>
      <c r="AG699" s="1961" t="s">
        <v>708</v>
      </c>
      <c r="AH699" s="1961"/>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1952</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61" t="s">
        <v>580</v>
      </c>
      <c r="AF703" s="196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v>
      </c>
      <c r="BH703" s="461">
        <f>BG703/$BG$728</f>
        <v>1.5384615384615385E-2</v>
      </c>
      <c r="BI703" s="462">
        <f t="shared" ref="BI703:BI727" si="45">IF(BH703=0," ",BH703*AM728)</f>
        <v>4.6119996615046118E-3</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61" t="s">
        <v>708</v>
      </c>
      <c r="AF704" s="196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2</v>
      </c>
      <c r="BH704" s="461">
        <f t="shared" ref="BH704:BH727" si="46">BG704/$BG$728</f>
        <v>3.0769230769230771E-2</v>
      </c>
      <c r="BI704" s="462">
        <f t="shared" si="45"/>
        <v>1.5384615384615385E-2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7">
        <v>44231</v>
      </c>
      <c r="AF705" s="2217"/>
      <c r="AG705" s="2217"/>
      <c r="AH705" s="2217"/>
      <c r="AI705" s="221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v>
      </c>
      <c r="BH705" s="461">
        <f t="shared" si="46"/>
        <v>1.5384615384615385E-2</v>
      </c>
      <c r="BI705" s="462">
        <f t="shared" si="45"/>
        <v>9.2324617077092323E-3</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161">
        <v>44287</v>
      </c>
      <c r="AF706" s="2161"/>
      <c r="AG706" s="2161"/>
      <c r="AH706" s="2161"/>
      <c r="AI706" s="216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3</v>
      </c>
      <c r="BH706" s="461">
        <f t="shared" si="46"/>
        <v>4.6153846153846156E-2</v>
      </c>
      <c r="BI706" s="462">
        <f t="shared" si="45"/>
        <v>1.3833462596065714E-2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12</v>
      </c>
      <c r="BH707" s="461">
        <f t="shared" si="46"/>
        <v>0.18461538461538463</v>
      </c>
      <c r="BI707" s="462">
        <f t="shared" si="45"/>
        <v>9.2307692307692313E-2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7">
        <v>44470</v>
      </c>
      <c r="AF708" s="2217"/>
      <c r="AG708" s="2217"/>
      <c r="AH708" s="2217"/>
      <c r="AI708" s="221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8</v>
      </c>
      <c r="BH708" s="461">
        <f t="shared" si="46"/>
        <v>0.12307692307692308</v>
      </c>
      <c r="BI708" s="462">
        <f t="shared" si="45"/>
        <v>7.3834872734964405E-2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180">
        <f>'[9]main spreadsheet'!$BV$16</f>
        <v>0.54500000000000004</v>
      </c>
      <c r="AF709" s="2180"/>
      <c r="AG709" s="2180"/>
      <c r="AH709" s="2180"/>
      <c r="AI709" s="218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7</v>
      </c>
      <c r="BH709" s="461">
        <f t="shared" si="46"/>
        <v>0.1076923076923077</v>
      </c>
      <c r="BI709" s="462">
        <f t="shared" si="45"/>
        <v>8.6173588098427706E-2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56" t="str">
        <f>H334</f>
        <v>California Municipal Finance Authority</v>
      </c>
      <c r="X710" s="2156"/>
      <c r="Y710" s="2156"/>
      <c r="Z710" s="2156"/>
      <c r="AA710" s="2156"/>
      <c r="AB710" s="2156"/>
      <c r="AC710" s="2156"/>
      <c r="AD710" s="2156"/>
      <c r="AE710" s="2156"/>
      <c r="AF710" s="2156"/>
      <c r="AG710" s="2156"/>
      <c r="AH710" s="2156"/>
      <c r="AI710" s="2156"/>
      <c r="AJ710" s="2156"/>
      <c r="AK710" s="215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3</v>
      </c>
      <c r="BH710" s="461">
        <f t="shared" si="46"/>
        <v>4.6153846153846156E-2</v>
      </c>
      <c r="BI710" s="462">
        <f t="shared" si="45"/>
        <v>1.3846153846153847E-2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10</v>
      </c>
      <c r="BH711" s="461">
        <f t="shared" si="46"/>
        <v>0.15384615384615385</v>
      </c>
      <c r="BI711" s="462">
        <f t="shared" si="45"/>
        <v>7.6923076923076927E-2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61" t="s">
        <v>708</v>
      </c>
      <c r="AF712" s="196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9</v>
      </c>
      <c r="BH712" s="461">
        <f t="shared" si="46"/>
        <v>0.13846153846153847</v>
      </c>
      <c r="BI712" s="462">
        <f t="shared" si="45"/>
        <v>8.3076923076923076E-2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1935"/>
      <c r="X713" s="1935"/>
      <c r="Y713" s="1935"/>
      <c r="Z713" s="1935"/>
      <c r="AA713" s="1935"/>
      <c r="AB713" s="1935"/>
      <c r="AC713" s="1935"/>
      <c r="AD713" s="1935"/>
      <c r="AE713" s="1935"/>
      <c r="AF713" s="1935"/>
      <c r="AG713" s="1935"/>
      <c r="AH713" s="1935"/>
      <c r="AI713" s="1935"/>
      <c r="AJ713" s="1935"/>
      <c r="AK713" s="193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9</v>
      </c>
      <c r="BH713" s="461">
        <f t="shared" si="46"/>
        <v>0.13846153846153847</v>
      </c>
      <c r="BI713" s="462">
        <f t="shared" si="45"/>
        <v>0.11076923076923079</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35"/>
      <c r="K714" s="1935"/>
      <c r="L714" s="1935"/>
      <c r="M714" s="1935"/>
      <c r="N714" s="1935"/>
      <c r="O714" s="1935"/>
      <c r="P714" s="1935"/>
      <c r="Q714" s="1935"/>
      <c r="R714" s="1935"/>
      <c r="S714" s="1935"/>
      <c r="T714" s="1935"/>
      <c r="U714" s="1935"/>
      <c r="V714" s="1935"/>
      <c r="W714" s="1935"/>
      <c r="X714" s="193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57"/>
      <c r="K715" s="2157"/>
      <c r="L715" s="2157"/>
      <c r="M715" s="2157"/>
      <c r="N715" s="2157"/>
      <c r="O715" s="2157"/>
      <c r="P715" s="7" t="s">
        <v>212</v>
      </c>
      <c r="Q715" s="7"/>
      <c r="R715" s="1958"/>
      <c r="S715" s="1958"/>
      <c r="T715" s="195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1935" t="s">
        <v>318</v>
      </c>
      <c r="X716" s="1935"/>
      <c r="Y716" s="1935"/>
      <c r="Z716" s="1935"/>
      <c r="AA716" s="1935"/>
      <c r="AB716" s="1935"/>
      <c r="AC716" s="1935"/>
      <c r="AD716" s="1935"/>
      <c r="AE716" s="1935"/>
      <c r="AF716" s="1935"/>
      <c r="AG716" s="1935"/>
      <c r="AH716" s="1935"/>
      <c r="AI716" s="1935"/>
      <c r="AJ716" s="1935"/>
      <c r="AK716" s="193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35" t="s">
        <v>345</v>
      </c>
      <c r="F717" s="1935"/>
      <c r="G717" s="1935"/>
      <c r="H717" s="1935"/>
      <c r="I717" s="1935"/>
      <c r="J717" s="1935"/>
      <c r="K717" s="1935"/>
      <c r="L717" s="1935"/>
      <c r="M717" s="1935"/>
      <c r="N717" s="1935"/>
      <c r="O717" s="1935"/>
      <c r="P717" s="1935"/>
      <c r="Q717" s="1935"/>
      <c r="R717" s="1935"/>
      <c r="S717" s="1935"/>
      <c r="T717" s="1935"/>
      <c r="U717" s="1935"/>
      <c r="V717" s="1935"/>
      <c r="W717" s="1935"/>
      <c r="X717" s="1935"/>
      <c r="Y717" s="1935"/>
      <c r="Z717" s="1935"/>
      <c r="AA717" s="1935"/>
      <c r="AB717" s="1935"/>
      <c r="AC717" s="1935"/>
      <c r="AD717" s="1935"/>
      <c r="AE717" s="1935"/>
      <c r="AF717" s="1935"/>
      <c r="AG717" s="1935"/>
      <c r="AH717" s="1935"/>
      <c r="AI717" s="1935"/>
      <c r="AJ717" s="1935"/>
      <c r="AK717" s="193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757" t="s">
        <v>100</v>
      </c>
      <c r="B719" s="1757"/>
      <c r="C719" s="1757"/>
      <c r="D719" s="1757"/>
      <c r="E719" s="1757"/>
      <c r="F719" s="1757"/>
      <c r="G719" s="1757"/>
      <c r="H719" s="1757"/>
      <c r="I719" s="1757"/>
      <c r="J719" s="1757"/>
      <c r="K719" s="1757"/>
      <c r="L719" s="1757"/>
      <c r="M719" s="1757"/>
      <c r="N719" s="1757"/>
      <c r="O719" s="1757"/>
      <c r="P719" s="1757"/>
      <c r="Q719" s="1757"/>
      <c r="R719" s="1757"/>
      <c r="S719" s="1757"/>
      <c r="T719" s="1757"/>
      <c r="U719" s="1757"/>
      <c r="V719" s="1757"/>
      <c r="W719" s="1757"/>
      <c r="X719" s="1757"/>
      <c r="Y719" s="1757"/>
      <c r="Z719" s="1757"/>
      <c r="AA719" s="1757"/>
      <c r="AB719" s="1757"/>
      <c r="AC719" s="1757"/>
      <c r="AD719" s="1757"/>
      <c r="AE719" s="1757"/>
      <c r="AF719" s="1757"/>
      <c r="AG719" s="1757"/>
      <c r="AH719" s="1757"/>
      <c r="AI719" s="1757"/>
      <c r="AJ719" s="1757"/>
      <c r="AK719" s="1757"/>
      <c r="AL719" s="1757"/>
      <c r="AM719" s="1757"/>
      <c r="AN719" s="1757"/>
      <c r="AO719" s="1757"/>
      <c r="AP719" s="1493"/>
      <c r="AQ719" s="1493"/>
      <c r="AR719" s="1493"/>
      <c r="AS719" s="1493"/>
      <c r="AT719" s="1493"/>
      <c r="AU719" s="1493"/>
      <c r="AV719" s="1493"/>
      <c r="AW719" s="1493"/>
      <c r="AX719" s="1493"/>
      <c r="AY719" s="1493"/>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757"/>
      <c r="B720" s="1757"/>
      <c r="C720" s="1757"/>
      <c r="D720" s="1757"/>
      <c r="E720" s="1757"/>
      <c r="F720" s="1757"/>
      <c r="G720" s="1757"/>
      <c r="H720" s="1757"/>
      <c r="I720" s="1757"/>
      <c r="J720" s="1757"/>
      <c r="K720" s="1757"/>
      <c r="L720" s="1757"/>
      <c r="M720" s="1757"/>
      <c r="N720" s="1757"/>
      <c r="O720" s="1757"/>
      <c r="P720" s="1757"/>
      <c r="Q720" s="1757"/>
      <c r="R720" s="1757"/>
      <c r="S720" s="1757"/>
      <c r="T720" s="1757"/>
      <c r="U720" s="1757"/>
      <c r="V720" s="1757"/>
      <c r="W720" s="1757"/>
      <c r="X720" s="1757"/>
      <c r="Y720" s="1757"/>
      <c r="Z720" s="1757"/>
      <c r="AA720" s="1757"/>
      <c r="AB720" s="1757"/>
      <c r="AC720" s="1757"/>
      <c r="AD720" s="1757"/>
      <c r="AE720" s="1757"/>
      <c r="AF720" s="1757"/>
      <c r="AG720" s="1757"/>
      <c r="AH720" s="1757"/>
      <c r="AI720" s="1757"/>
      <c r="AJ720" s="1757"/>
      <c r="AK720" s="1757"/>
      <c r="AL720" s="1757"/>
      <c r="AM720" s="1757"/>
      <c r="AN720" s="1757"/>
      <c r="AO720" s="1757"/>
      <c r="AP720" s="1493"/>
      <c r="AQ720" s="1493"/>
      <c r="AR720" s="1493"/>
      <c r="AS720" s="1493"/>
      <c r="AT720" s="1493"/>
      <c r="AU720" s="1493"/>
      <c r="AV720" s="1493"/>
      <c r="AW720" s="1493"/>
      <c r="AX720" s="1493"/>
      <c r="AY720" s="1493"/>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757"/>
      <c r="B721" s="1757"/>
      <c r="C721" s="1757"/>
      <c r="D721" s="1757"/>
      <c r="E721" s="1757"/>
      <c r="F721" s="1757"/>
      <c r="G721" s="1757"/>
      <c r="H721" s="1757"/>
      <c r="I721" s="1757"/>
      <c r="J721" s="1757"/>
      <c r="K721" s="1757"/>
      <c r="L721" s="1757"/>
      <c r="M721" s="1757"/>
      <c r="N721" s="1757"/>
      <c r="O721" s="1757"/>
      <c r="P721" s="1757"/>
      <c r="Q721" s="1757"/>
      <c r="R721" s="1757"/>
      <c r="S721" s="1757"/>
      <c r="T721" s="1757"/>
      <c r="U721" s="1757"/>
      <c r="V721" s="1757"/>
      <c r="W721" s="1757"/>
      <c r="X721" s="1757"/>
      <c r="Y721" s="1757"/>
      <c r="Z721" s="1757"/>
      <c r="AA721" s="1757"/>
      <c r="AB721" s="1757"/>
      <c r="AC721" s="1757"/>
      <c r="AD721" s="1757"/>
      <c r="AE721" s="1757"/>
      <c r="AF721" s="1757"/>
      <c r="AG721" s="1757"/>
      <c r="AH721" s="1757"/>
      <c r="AI721" s="1757"/>
      <c r="AJ721" s="1757"/>
      <c r="AK721" s="1757"/>
      <c r="AL721" s="1757"/>
      <c r="AM721" s="1757"/>
      <c r="AN721" s="1757"/>
      <c r="AO721" s="1757"/>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837"/>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41" t="s">
        <v>409</v>
      </c>
      <c r="C724" s="2142"/>
      <c r="D724" s="2142"/>
      <c r="E724" s="2142"/>
      <c r="F724" s="2143"/>
      <c r="G724" s="2141" t="s">
        <v>293</v>
      </c>
      <c r="H724" s="2142"/>
      <c r="I724" s="2142"/>
      <c r="J724" s="2143"/>
      <c r="K724" s="2150" t="s">
        <v>2175</v>
      </c>
      <c r="L724" s="2151"/>
      <c r="M724" s="2151"/>
      <c r="N724" s="2152"/>
      <c r="O724" s="2141" t="s">
        <v>480</v>
      </c>
      <c r="P724" s="2142"/>
      <c r="Q724" s="2142"/>
      <c r="R724" s="2142"/>
      <c r="S724" s="2143"/>
      <c r="T724" s="2141" t="s">
        <v>294</v>
      </c>
      <c r="U724" s="2142"/>
      <c r="V724" s="2142"/>
      <c r="W724" s="2142"/>
      <c r="X724" s="2143"/>
      <c r="Y724" s="2141" t="s">
        <v>295</v>
      </c>
      <c r="Z724" s="2142"/>
      <c r="AA724" s="2142"/>
      <c r="AB724" s="2143"/>
      <c r="AC724" s="2141" t="s">
        <v>296</v>
      </c>
      <c r="AD724" s="2142"/>
      <c r="AE724" s="2142"/>
      <c r="AF724" s="2142"/>
      <c r="AG724" s="2143"/>
      <c r="AH724" s="2141" t="s">
        <v>410</v>
      </c>
      <c r="AI724" s="2142"/>
      <c r="AJ724" s="2142"/>
      <c r="AK724" s="2142"/>
      <c r="AL724" s="2143"/>
      <c r="AM724" s="2141" t="s">
        <v>684</v>
      </c>
      <c r="AN724" s="2142"/>
      <c r="AO724" s="2143"/>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44"/>
      <c r="C725" s="2145"/>
      <c r="D725" s="2145"/>
      <c r="E725" s="2145"/>
      <c r="F725" s="2146"/>
      <c r="G725" s="2144"/>
      <c r="H725" s="2145"/>
      <c r="I725" s="2145"/>
      <c r="J725" s="2146"/>
      <c r="K725" s="2153"/>
      <c r="L725" s="2154"/>
      <c r="M725" s="2154"/>
      <c r="N725" s="2155"/>
      <c r="O725" s="2144"/>
      <c r="P725" s="2145"/>
      <c r="Q725" s="2145"/>
      <c r="R725" s="2145"/>
      <c r="S725" s="2146"/>
      <c r="T725" s="2144"/>
      <c r="U725" s="2145"/>
      <c r="V725" s="2145"/>
      <c r="W725" s="2145"/>
      <c r="X725" s="2146"/>
      <c r="Y725" s="2144"/>
      <c r="Z725" s="2145"/>
      <c r="AA725" s="2145"/>
      <c r="AB725" s="2146"/>
      <c r="AC725" s="2144"/>
      <c r="AD725" s="2145"/>
      <c r="AE725" s="2145"/>
      <c r="AF725" s="2145"/>
      <c r="AG725" s="2146"/>
      <c r="AH725" s="2144"/>
      <c r="AI725" s="2145"/>
      <c r="AJ725" s="2145"/>
      <c r="AK725" s="2145"/>
      <c r="AL725" s="2146"/>
      <c r="AM725" s="2144"/>
      <c r="AN725" s="2145"/>
      <c r="AO725" s="2146"/>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44"/>
      <c r="C726" s="2145"/>
      <c r="D726" s="2145"/>
      <c r="E726" s="2145"/>
      <c r="F726" s="2146"/>
      <c r="G726" s="2144"/>
      <c r="H726" s="2145"/>
      <c r="I726" s="2145"/>
      <c r="J726" s="2146"/>
      <c r="K726" s="2153"/>
      <c r="L726" s="2154"/>
      <c r="M726" s="2154"/>
      <c r="N726" s="2155"/>
      <c r="O726" s="2144"/>
      <c r="P726" s="2145"/>
      <c r="Q726" s="2145"/>
      <c r="R726" s="2145"/>
      <c r="S726" s="2146"/>
      <c r="T726" s="2144"/>
      <c r="U726" s="2145"/>
      <c r="V726" s="2145"/>
      <c r="W726" s="2145"/>
      <c r="X726" s="2146"/>
      <c r="Y726" s="2144"/>
      <c r="Z726" s="2145"/>
      <c r="AA726" s="2145"/>
      <c r="AB726" s="2146"/>
      <c r="AC726" s="2144"/>
      <c r="AD726" s="2145"/>
      <c r="AE726" s="2145"/>
      <c r="AF726" s="2145"/>
      <c r="AG726" s="2146"/>
      <c r="AH726" s="2144"/>
      <c r="AI726" s="2145"/>
      <c r="AJ726" s="2145"/>
      <c r="AK726" s="2145"/>
      <c r="AL726" s="2146"/>
      <c r="AM726" s="2144"/>
      <c r="AN726" s="2145"/>
      <c r="AO726" s="2146"/>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47"/>
      <c r="C727" s="2148"/>
      <c r="D727" s="2148"/>
      <c r="E727" s="2148"/>
      <c r="F727" s="2149"/>
      <c r="G727" s="2147"/>
      <c r="H727" s="2148"/>
      <c r="I727" s="2148"/>
      <c r="J727" s="2149"/>
      <c r="K727" s="2153"/>
      <c r="L727" s="2154"/>
      <c r="M727" s="2154"/>
      <c r="N727" s="2155"/>
      <c r="O727" s="2147"/>
      <c r="P727" s="2148"/>
      <c r="Q727" s="2148"/>
      <c r="R727" s="2148"/>
      <c r="S727" s="2149"/>
      <c r="T727" s="2147"/>
      <c r="U727" s="2148"/>
      <c r="V727" s="2148"/>
      <c r="W727" s="2148"/>
      <c r="X727" s="2149"/>
      <c r="Y727" s="2147"/>
      <c r="Z727" s="2148"/>
      <c r="AA727" s="2148"/>
      <c r="AB727" s="2149"/>
      <c r="AC727" s="2147"/>
      <c r="AD727" s="2148"/>
      <c r="AE727" s="2148"/>
      <c r="AF727" s="2148"/>
      <c r="AG727" s="2149"/>
      <c r="AH727" s="2147"/>
      <c r="AI727" s="2148"/>
      <c r="AJ727" s="2148"/>
      <c r="AK727" s="2148"/>
      <c r="AL727" s="2149"/>
      <c r="AM727" s="2147"/>
      <c r="AN727" s="2148"/>
      <c r="AO727" s="2149"/>
      <c r="AP727" s="239"/>
      <c r="AQ727" s="239"/>
      <c r="AR727" s="239"/>
      <c r="AS727" s="239"/>
      <c r="AT727" s="239"/>
      <c r="AU727" s="239"/>
      <c r="AV727" s="239"/>
      <c r="AW727" s="239"/>
      <c r="AX727" s="239"/>
      <c r="AY727" s="239"/>
      <c r="AZ727" s="58"/>
      <c r="BA727" s="58"/>
      <c r="BB727" s="58"/>
      <c r="BC727" s="58"/>
      <c r="BD727" s="58"/>
      <c r="BE727" s="58"/>
      <c r="BF727" s="58"/>
      <c r="BG727" s="1342">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01" t="s">
        <v>336</v>
      </c>
      <c r="C728" s="2102"/>
      <c r="D728" s="2102"/>
      <c r="E728" s="2102"/>
      <c r="F728" s="2103"/>
      <c r="G728" s="2118">
        <v>1</v>
      </c>
      <c r="H728" s="2119"/>
      <c r="I728" s="2119"/>
      <c r="J728" s="2120"/>
      <c r="K728" s="2084">
        <v>750</v>
      </c>
      <c r="L728" s="2085"/>
      <c r="M728" s="2085"/>
      <c r="N728" s="2086"/>
      <c r="O728" s="2088">
        <v>421</v>
      </c>
      <c r="P728" s="2089"/>
      <c r="Q728" s="2089"/>
      <c r="R728" s="2089"/>
      <c r="S728" s="2090"/>
      <c r="T728" s="2091">
        <f t="shared" ref="T728:T752" si="47">G728*O728</f>
        <v>421</v>
      </c>
      <c r="U728" s="2092"/>
      <c r="V728" s="2092"/>
      <c r="W728" s="2092"/>
      <c r="X728" s="2093"/>
      <c r="Y728" s="2088">
        <f>+Q830</f>
        <v>124</v>
      </c>
      <c r="Z728" s="2089"/>
      <c r="AA728" s="2089"/>
      <c r="AB728" s="2090"/>
      <c r="AC728" s="2091">
        <f t="shared" ref="AC728:AC752" si="48">O728+Y728</f>
        <v>545</v>
      </c>
      <c r="AD728" s="2092"/>
      <c r="AE728" s="2092"/>
      <c r="AF728" s="2092"/>
      <c r="AG728" s="2093"/>
      <c r="AH728" s="1908">
        <v>0.3</v>
      </c>
      <c r="AI728" s="1909"/>
      <c r="AJ728" s="1909"/>
      <c r="AK728" s="1909"/>
      <c r="AL728" s="1910"/>
      <c r="AM728" s="1905">
        <f t="shared" ref="AM728:AM752" si="49">IF($AH728&gt;0,($AC728/$BA670), " ")</f>
        <v>0.29977997799779976</v>
      </c>
      <c r="AN728" s="1906"/>
      <c r="AO728" s="1907"/>
      <c r="AP728" s="239"/>
      <c r="AQ728" s="239"/>
      <c r="AR728" s="239"/>
      <c r="AS728" s="239"/>
      <c r="AT728" s="239"/>
      <c r="AU728" s="239"/>
      <c r="AV728" s="239"/>
      <c r="AW728" s="239"/>
      <c r="AX728" s="239"/>
      <c r="AY728" s="239"/>
      <c r="AZ728" s="58"/>
      <c r="BA728" s="58"/>
      <c r="BB728" s="58"/>
      <c r="BC728" s="58"/>
      <c r="BD728" s="58"/>
      <c r="BE728" s="58"/>
      <c r="BF728" s="58"/>
      <c r="BG728" s="1341">
        <f>SUM(BG703:BG727)</f>
        <v>65</v>
      </c>
      <c r="BH728" s="464">
        <f>SUM(BH703:BH727)</f>
        <v>1</v>
      </c>
      <c r="BI728" s="464">
        <f>SUM(BI703:BI727)</f>
        <v>0.57999407710636408</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01" t="s">
        <v>336</v>
      </c>
      <c r="C729" s="2102"/>
      <c r="D729" s="2102"/>
      <c r="E729" s="2102"/>
      <c r="F729" s="2103"/>
      <c r="G729" s="2118">
        <v>2</v>
      </c>
      <c r="H729" s="2119"/>
      <c r="I729" s="2119"/>
      <c r="J729" s="2120"/>
      <c r="K729" s="2084">
        <v>750</v>
      </c>
      <c r="L729" s="2085"/>
      <c r="M729" s="2085"/>
      <c r="N729" s="2086"/>
      <c r="O729" s="2088">
        <v>785</v>
      </c>
      <c r="P729" s="2089"/>
      <c r="Q729" s="2089"/>
      <c r="R729" s="2089"/>
      <c r="S729" s="2090"/>
      <c r="T729" s="2091">
        <f t="shared" si="47"/>
        <v>1570</v>
      </c>
      <c r="U729" s="2092"/>
      <c r="V729" s="2092"/>
      <c r="W729" s="2092"/>
      <c r="X729" s="2093"/>
      <c r="Y729" s="2088">
        <f>+Y728</f>
        <v>124</v>
      </c>
      <c r="Z729" s="2089"/>
      <c r="AA729" s="2089"/>
      <c r="AB729" s="2090"/>
      <c r="AC729" s="2091">
        <f t="shared" si="48"/>
        <v>909</v>
      </c>
      <c r="AD729" s="2092"/>
      <c r="AE729" s="2092"/>
      <c r="AF729" s="2092"/>
      <c r="AG729" s="2093"/>
      <c r="AH729" s="1908">
        <v>0.5</v>
      </c>
      <c r="AI729" s="1909"/>
      <c r="AJ729" s="1909"/>
      <c r="AK729" s="1909"/>
      <c r="AL729" s="1910"/>
      <c r="AM729" s="1905">
        <f t="shared" si="49"/>
        <v>0.5</v>
      </c>
      <c r="AN729" s="1906"/>
      <c r="AO729" s="190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01" t="s">
        <v>336</v>
      </c>
      <c r="C730" s="2102"/>
      <c r="D730" s="2102"/>
      <c r="E730" s="2102"/>
      <c r="F730" s="2103"/>
      <c r="G730" s="2118">
        <v>1</v>
      </c>
      <c r="H730" s="2119"/>
      <c r="I730" s="2119"/>
      <c r="J730" s="2120"/>
      <c r="K730" s="2084">
        <v>750</v>
      </c>
      <c r="L730" s="2085"/>
      <c r="M730" s="2085"/>
      <c r="N730" s="2086"/>
      <c r="O730" s="2088">
        <v>967</v>
      </c>
      <c r="P730" s="2089"/>
      <c r="Q730" s="2089"/>
      <c r="R730" s="2089"/>
      <c r="S730" s="2090"/>
      <c r="T730" s="2091">
        <f t="shared" si="47"/>
        <v>967</v>
      </c>
      <c r="U730" s="2092"/>
      <c r="V730" s="2092"/>
      <c r="W730" s="2092"/>
      <c r="X730" s="2093"/>
      <c r="Y730" s="2088">
        <f>+Y728</f>
        <v>124</v>
      </c>
      <c r="Z730" s="2089"/>
      <c r="AA730" s="2089"/>
      <c r="AB730" s="2090"/>
      <c r="AC730" s="2091">
        <f t="shared" si="48"/>
        <v>1091</v>
      </c>
      <c r="AD730" s="2092"/>
      <c r="AE730" s="2092"/>
      <c r="AF730" s="2092"/>
      <c r="AG730" s="2093"/>
      <c r="AH730" s="1908">
        <v>0.6</v>
      </c>
      <c r="AI730" s="1909"/>
      <c r="AJ730" s="1909"/>
      <c r="AK730" s="1909"/>
      <c r="AL730" s="1910"/>
      <c r="AM730" s="1905">
        <f t="shared" si="49"/>
        <v>0.60011001100110006</v>
      </c>
      <c r="AN730" s="1906"/>
      <c r="AO730" s="190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01" t="s">
        <v>168</v>
      </c>
      <c r="C731" s="2102"/>
      <c r="D731" s="2102"/>
      <c r="E731" s="2102"/>
      <c r="F731" s="2103"/>
      <c r="G731" s="2118">
        <v>3</v>
      </c>
      <c r="H731" s="2119"/>
      <c r="I731" s="2119"/>
      <c r="J731" s="2120"/>
      <c r="K731" s="2084">
        <v>900</v>
      </c>
      <c r="L731" s="2085"/>
      <c r="M731" s="2085"/>
      <c r="N731" s="2086"/>
      <c r="O731" s="2088">
        <v>480</v>
      </c>
      <c r="P731" s="2089"/>
      <c r="Q731" s="2089"/>
      <c r="R731" s="2089"/>
      <c r="S731" s="2090"/>
      <c r="T731" s="2091">
        <f t="shared" si="47"/>
        <v>1440</v>
      </c>
      <c r="U731" s="2092"/>
      <c r="V731" s="2092"/>
      <c r="W731" s="2092"/>
      <c r="X731" s="2093"/>
      <c r="Y731" s="2088">
        <f>+U830</f>
        <v>174</v>
      </c>
      <c r="Z731" s="2089"/>
      <c r="AA731" s="2089"/>
      <c r="AB731" s="2090"/>
      <c r="AC731" s="2091">
        <f t="shared" si="48"/>
        <v>654</v>
      </c>
      <c r="AD731" s="2092"/>
      <c r="AE731" s="2092"/>
      <c r="AF731" s="2092"/>
      <c r="AG731" s="2093"/>
      <c r="AH731" s="1908">
        <v>0.3</v>
      </c>
      <c r="AI731" s="1909"/>
      <c r="AJ731" s="1909"/>
      <c r="AK731" s="1909"/>
      <c r="AL731" s="1910"/>
      <c r="AM731" s="1905">
        <f t="shared" si="49"/>
        <v>0.29972502291475711</v>
      </c>
      <c r="AN731" s="1906"/>
      <c r="AO731" s="190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01" t="s">
        <v>168</v>
      </c>
      <c r="C732" s="2102"/>
      <c r="D732" s="2102"/>
      <c r="E732" s="2102"/>
      <c r="F732" s="2103"/>
      <c r="G732" s="2118">
        <v>12</v>
      </c>
      <c r="H732" s="2119"/>
      <c r="I732" s="2119"/>
      <c r="J732" s="2120"/>
      <c r="K732" s="2084">
        <v>900</v>
      </c>
      <c r="L732" s="2085"/>
      <c r="M732" s="2085"/>
      <c r="N732" s="2086"/>
      <c r="O732" s="2088">
        <v>917</v>
      </c>
      <c r="P732" s="2089"/>
      <c r="Q732" s="2089"/>
      <c r="R732" s="2089"/>
      <c r="S732" s="2090"/>
      <c r="T732" s="2091">
        <f t="shared" si="47"/>
        <v>11004</v>
      </c>
      <c r="U732" s="2092"/>
      <c r="V732" s="2092"/>
      <c r="W732" s="2092"/>
      <c r="X732" s="2093"/>
      <c r="Y732" s="2088">
        <f>+Y731</f>
        <v>174</v>
      </c>
      <c r="Z732" s="2089"/>
      <c r="AA732" s="2089"/>
      <c r="AB732" s="2090"/>
      <c r="AC732" s="2091">
        <f t="shared" si="48"/>
        <v>1091</v>
      </c>
      <c r="AD732" s="2092"/>
      <c r="AE732" s="2092"/>
      <c r="AF732" s="2092"/>
      <c r="AG732" s="2093"/>
      <c r="AH732" s="1908">
        <v>0.5</v>
      </c>
      <c r="AI732" s="1909"/>
      <c r="AJ732" s="1909"/>
      <c r="AK732" s="1909"/>
      <c r="AL732" s="1910"/>
      <c r="AM732" s="1905">
        <f t="shared" si="49"/>
        <v>0.5</v>
      </c>
      <c r="AN732" s="1906"/>
      <c r="AO732" s="190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01" t="s">
        <v>168</v>
      </c>
      <c r="C733" s="2102"/>
      <c r="D733" s="2102"/>
      <c r="E733" s="2102"/>
      <c r="F733" s="2103"/>
      <c r="G733" s="2118">
        <v>8</v>
      </c>
      <c r="H733" s="2119"/>
      <c r="I733" s="2119"/>
      <c r="J733" s="2120"/>
      <c r="K733" s="2084">
        <v>900</v>
      </c>
      <c r="L733" s="2085"/>
      <c r="M733" s="2085"/>
      <c r="N733" s="2086"/>
      <c r="O733" s="2088">
        <v>1135</v>
      </c>
      <c r="P733" s="2089"/>
      <c r="Q733" s="2089"/>
      <c r="R733" s="2089"/>
      <c r="S733" s="2090"/>
      <c r="T733" s="2091">
        <f t="shared" si="47"/>
        <v>9080</v>
      </c>
      <c r="U733" s="2092"/>
      <c r="V733" s="2092"/>
      <c r="W733" s="2092"/>
      <c r="X733" s="2093"/>
      <c r="Y733" s="2088">
        <f>+Y732</f>
        <v>174</v>
      </c>
      <c r="Z733" s="2089"/>
      <c r="AA733" s="2089"/>
      <c r="AB733" s="2090"/>
      <c r="AC733" s="2091">
        <f t="shared" si="48"/>
        <v>1309</v>
      </c>
      <c r="AD733" s="2092"/>
      <c r="AE733" s="2092"/>
      <c r="AF733" s="2092"/>
      <c r="AG733" s="2093"/>
      <c r="AH733" s="1908">
        <v>0.6</v>
      </c>
      <c r="AI733" s="1909"/>
      <c r="AJ733" s="1909"/>
      <c r="AK733" s="1909"/>
      <c r="AL733" s="1910"/>
      <c r="AM733" s="1905">
        <f t="shared" si="49"/>
        <v>0.59990834097158574</v>
      </c>
      <c r="AN733" s="1906"/>
      <c r="AO733" s="190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01" t="s">
        <v>168</v>
      </c>
      <c r="C734" s="2102"/>
      <c r="D734" s="2102"/>
      <c r="E734" s="2102"/>
      <c r="F734" s="2103"/>
      <c r="G734" s="2118">
        <v>7</v>
      </c>
      <c r="H734" s="2119"/>
      <c r="I734" s="2119"/>
      <c r="J734" s="2120"/>
      <c r="K734" s="2084">
        <v>900</v>
      </c>
      <c r="L734" s="2085"/>
      <c r="M734" s="2085"/>
      <c r="N734" s="2086"/>
      <c r="O734" s="2088">
        <v>1572</v>
      </c>
      <c r="P734" s="2089"/>
      <c r="Q734" s="2089"/>
      <c r="R734" s="2089"/>
      <c r="S734" s="2090"/>
      <c r="T734" s="2091">
        <f t="shared" si="47"/>
        <v>11004</v>
      </c>
      <c r="U734" s="2092"/>
      <c r="V734" s="2092"/>
      <c r="W734" s="2092"/>
      <c r="X734" s="2093"/>
      <c r="Y734" s="2088">
        <f>+Y733</f>
        <v>174</v>
      </c>
      <c r="Z734" s="2089"/>
      <c r="AA734" s="2089"/>
      <c r="AB734" s="2090"/>
      <c r="AC734" s="2091">
        <f t="shared" si="48"/>
        <v>1746</v>
      </c>
      <c r="AD734" s="2092"/>
      <c r="AE734" s="2092"/>
      <c r="AF734" s="2092"/>
      <c r="AG734" s="2093"/>
      <c r="AH734" s="1908">
        <v>0.8</v>
      </c>
      <c r="AI734" s="1909"/>
      <c r="AJ734" s="1909"/>
      <c r="AK734" s="1909"/>
      <c r="AL734" s="1910"/>
      <c r="AM734" s="1905">
        <f t="shared" si="49"/>
        <v>0.80018331805682863</v>
      </c>
      <c r="AN734" s="1906"/>
      <c r="AO734" s="190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01" t="s">
        <v>169</v>
      </c>
      <c r="C735" s="2102"/>
      <c r="D735" s="2102"/>
      <c r="E735" s="2102"/>
      <c r="F735" s="2103"/>
      <c r="G735" s="2118">
        <v>3</v>
      </c>
      <c r="H735" s="2119"/>
      <c r="I735" s="2119"/>
      <c r="J735" s="2120"/>
      <c r="K735" s="2084">
        <v>1100</v>
      </c>
      <c r="L735" s="2085"/>
      <c r="M735" s="2085"/>
      <c r="N735" s="2086"/>
      <c r="O735" s="2088">
        <v>513</v>
      </c>
      <c r="P735" s="2089"/>
      <c r="Q735" s="2089"/>
      <c r="R735" s="2089"/>
      <c r="S735" s="2090"/>
      <c r="T735" s="2091">
        <f t="shared" si="47"/>
        <v>1539</v>
      </c>
      <c r="U735" s="2092"/>
      <c r="V735" s="2092"/>
      <c r="W735" s="2092"/>
      <c r="X735" s="2093"/>
      <c r="Y735" s="2088">
        <f>+Y830</f>
        <v>243</v>
      </c>
      <c r="Z735" s="2089"/>
      <c r="AA735" s="2089"/>
      <c r="AB735" s="2090"/>
      <c r="AC735" s="2091">
        <f t="shared" si="48"/>
        <v>756</v>
      </c>
      <c r="AD735" s="2092"/>
      <c r="AE735" s="2092"/>
      <c r="AF735" s="2092"/>
      <c r="AG735" s="2093"/>
      <c r="AH735" s="1908">
        <v>0.3</v>
      </c>
      <c r="AI735" s="1909"/>
      <c r="AJ735" s="1909"/>
      <c r="AK735" s="1909"/>
      <c r="AL735" s="1910"/>
      <c r="AM735" s="1905">
        <f t="shared" si="49"/>
        <v>0.3</v>
      </c>
      <c r="AN735" s="1906"/>
      <c r="AO735" s="190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01" t="s">
        <v>169</v>
      </c>
      <c r="C736" s="2102"/>
      <c r="D736" s="2102"/>
      <c r="E736" s="2102"/>
      <c r="F736" s="2103"/>
      <c r="G736" s="2118">
        <v>10</v>
      </c>
      <c r="H736" s="2119"/>
      <c r="I736" s="2119"/>
      <c r="J736" s="2120"/>
      <c r="K736" s="2084">
        <v>1100</v>
      </c>
      <c r="L736" s="2085"/>
      <c r="M736" s="2085"/>
      <c r="N736" s="2086"/>
      <c r="O736" s="2088">
        <v>1017</v>
      </c>
      <c r="P736" s="2089"/>
      <c r="Q736" s="2089"/>
      <c r="R736" s="2089"/>
      <c r="S736" s="2090"/>
      <c r="T736" s="2091">
        <f t="shared" si="47"/>
        <v>10170</v>
      </c>
      <c r="U736" s="2092"/>
      <c r="V736" s="2092"/>
      <c r="W736" s="2092"/>
      <c r="X736" s="2093"/>
      <c r="Y736" s="2088">
        <f>+Y735</f>
        <v>243</v>
      </c>
      <c r="Z736" s="2089"/>
      <c r="AA736" s="2089"/>
      <c r="AB736" s="2090"/>
      <c r="AC736" s="2091">
        <f t="shared" si="48"/>
        <v>1260</v>
      </c>
      <c r="AD736" s="2092"/>
      <c r="AE736" s="2092"/>
      <c r="AF736" s="2092"/>
      <c r="AG736" s="2093"/>
      <c r="AH736" s="1908">
        <v>0.5</v>
      </c>
      <c r="AI736" s="1909"/>
      <c r="AJ736" s="1909"/>
      <c r="AK736" s="1909"/>
      <c r="AL736" s="1910"/>
      <c r="AM736" s="1905">
        <f t="shared" si="49"/>
        <v>0.5</v>
      </c>
      <c r="AN736" s="1906"/>
      <c r="AO736" s="190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01" t="s">
        <v>169</v>
      </c>
      <c r="C737" s="2102"/>
      <c r="D737" s="2102"/>
      <c r="E737" s="2102"/>
      <c r="F737" s="2103"/>
      <c r="G737" s="2118">
        <v>9</v>
      </c>
      <c r="H737" s="2119"/>
      <c r="I737" s="2119"/>
      <c r="J737" s="2120"/>
      <c r="K737" s="2084">
        <v>1100</v>
      </c>
      <c r="L737" s="2085"/>
      <c r="M737" s="2085"/>
      <c r="N737" s="2086"/>
      <c r="O737" s="2088">
        <v>1269</v>
      </c>
      <c r="P737" s="2089"/>
      <c r="Q737" s="2089"/>
      <c r="R737" s="2089"/>
      <c r="S737" s="2090"/>
      <c r="T737" s="2091">
        <f t="shared" si="47"/>
        <v>11421</v>
      </c>
      <c r="U737" s="2092"/>
      <c r="V737" s="2092"/>
      <c r="W737" s="2092"/>
      <c r="X737" s="2093"/>
      <c r="Y737" s="2088">
        <f>+Y735</f>
        <v>243</v>
      </c>
      <c r="Z737" s="2089"/>
      <c r="AA737" s="2089"/>
      <c r="AB737" s="2090"/>
      <c r="AC737" s="2091">
        <f t="shared" si="48"/>
        <v>1512</v>
      </c>
      <c r="AD737" s="2092"/>
      <c r="AE737" s="2092"/>
      <c r="AF737" s="2092"/>
      <c r="AG737" s="2093"/>
      <c r="AH737" s="1908">
        <v>0.6</v>
      </c>
      <c r="AI737" s="1909"/>
      <c r="AJ737" s="1909"/>
      <c r="AK737" s="1909"/>
      <c r="AL737" s="1910"/>
      <c r="AM737" s="1905">
        <f t="shared" si="49"/>
        <v>0.6</v>
      </c>
      <c r="AN737" s="1906"/>
      <c r="AO737" s="190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01" t="s">
        <v>169</v>
      </c>
      <c r="C738" s="2102"/>
      <c r="D738" s="2102"/>
      <c r="E738" s="2102"/>
      <c r="F738" s="2103"/>
      <c r="G738" s="2118">
        <v>9</v>
      </c>
      <c r="H738" s="2119"/>
      <c r="I738" s="2119"/>
      <c r="J738" s="2120"/>
      <c r="K738" s="2084">
        <v>1100</v>
      </c>
      <c r="L738" s="2085"/>
      <c r="M738" s="2085"/>
      <c r="N738" s="2086"/>
      <c r="O738" s="2088">
        <v>1773</v>
      </c>
      <c r="P738" s="2089"/>
      <c r="Q738" s="2089"/>
      <c r="R738" s="2089"/>
      <c r="S738" s="2090"/>
      <c r="T738" s="2091">
        <f t="shared" si="47"/>
        <v>15957</v>
      </c>
      <c r="U738" s="2092"/>
      <c r="V738" s="2092"/>
      <c r="W738" s="2092"/>
      <c r="X738" s="2093"/>
      <c r="Y738" s="2088">
        <f>+Y735</f>
        <v>243</v>
      </c>
      <c r="Z738" s="2089"/>
      <c r="AA738" s="2089"/>
      <c r="AB738" s="2090"/>
      <c r="AC738" s="2091">
        <f t="shared" si="48"/>
        <v>2016</v>
      </c>
      <c r="AD738" s="2092"/>
      <c r="AE738" s="2092"/>
      <c r="AF738" s="2092"/>
      <c r="AG738" s="2093"/>
      <c r="AH738" s="1908">
        <v>0.8</v>
      </c>
      <c r="AI738" s="1909"/>
      <c r="AJ738" s="1909"/>
      <c r="AK738" s="1909"/>
      <c r="AL738" s="1910"/>
      <c r="AM738" s="1905">
        <f t="shared" si="49"/>
        <v>0.8</v>
      </c>
      <c r="AN738" s="1906"/>
      <c r="AO738" s="190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01"/>
      <c r="C739" s="2102"/>
      <c r="D739" s="2102"/>
      <c r="E739" s="2102"/>
      <c r="F739" s="2103"/>
      <c r="G739" s="2118"/>
      <c r="H739" s="2119"/>
      <c r="I739" s="2119"/>
      <c r="J739" s="2120"/>
      <c r="K739" s="2084"/>
      <c r="L739" s="2085"/>
      <c r="M739" s="2085"/>
      <c r="N739" s="2086"/>
      <c r="O739" s="2088"/>
      <c r="P739" s="2089"/>
      <c r="Q739" s="2089"/>
      <c r="R739" s="2089"/>
      <c r="S739" s="2090"/>
      <c r="T739" s="2091">
        <f t="shared" si="47"/>
        <v>0</v>
      </c>
      <c r="U739" s="2092"/>
      <c r="V739" s="2092"/>
      <c r="W739" s="2092"/>
      <c r="X739" s="2093"/>
      <c r="Y739" s="2088">
        <v>0</v>
      </c>
      <c r="Z739" s="2089"/>
      <c r="AA739" s="2089"/>
      <c r="AB739" s="2090"/>
      <c r="AC739" s="2091">
        <f t="shared" si="48"/>
        <v>0</v>
      </c>
      <c r="AD739" s="2092"/>
      <c r="AE739" s="2092"/>
      <c r="AF739" s="2092"/>
      <c r="AG739" s="2093"/>
      <c r="AH739" s="1908">
        <v>0</v>
      </c>
      <c r="AI739" s="1909"/>
      <c r="AJ739" s="1909"/>
      <c r="AK739" s="1909"/>
      <c r="AL739" s="1910"/>
      <c r="AM739" s="1905" t="str">
        <f t="shared" si="49"/>
        <v xml:space="preserve"> </v>
      </c>
      <c r="AN739" s="1906"/>
      <c r="AO739" s="190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01"/>
      <c r="C740" s="2102"/>
      <c r="D740" s="2102"/>
      <c r="E740" s="2102"/>
      <c r="F740" s="2103"/>
      <c r="G740" s="2118"/>
      <c r="H740" s="2119"/>
      <c r="I740" s="2119"/>
      <c r="J740" s="2120"/>
      <c r="K740" s="2084"/>
      <c r="L740" s="2085"/>
      <c r="M740" s="2085"/>
      <c r="N740" s="2086"/>
      <c r="O740" s="2088"/>
      <c r="P740" s="2089"/>
      <c r="Q740" s="2089"/>
      <c r="R740" s="2089"/>
      <c r="S740" s="2090"/>
      <c r="T740" s="2091">
        <f t="shared" si="47"/>
        <v>0</v>
      </c>
      <c r="U740" s="2092"/>
      <c r="V740" s="2092"/>
      <c r="W740" s="2092"/>
      <c r="X740" s="2093"/>
      <c r="Y740" s="2088">
        <v>0</v>
      </c>
      <c r="Z740" s="2089"/>
      <c r="AA740" s="2089"/>
      <c r="AB740" s="2090"/>
      <c r="AC740" s="2091">
        <f t="shared" si="48"/>
        <v>0</v>
      </c>
      <c r="AD740" s="2092"/>
      <c r="AE740" s="2092"/>
      <c r="AF740" s="2092"/>
      <c r="AG740" s="2093"/>
      <c r="AH740" s="1908">
        <v>0</v>
      </c>
      <c r="AI740" s="1909"/>
      <c r="AJ740" s="1909"/>
      <c r="AK740" s="1909"/>
      <c r="AL740" s="1910"/>
      <c r="AM740" s="1905" t="str">
        <f t="shared" si="49"/>
        <v xml:space="preserve"> </v>
      </c>
      <c r="AN740" s="1906"/>
      <c r="AO740" s="190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01"/>
      <c r="C741" s="2102"/>
      <c r="D741" s="2102"/>
      <c r="E741" s="2102"/>
      <c r="F741" s="2103"/>
      <c r="G741" s="2118"/>
      <c r="H741" s="2119"/>
      <c r="I741" s="2119"/>
      <c r="J741" s="2120"/>
      <c r="K741" s="2084"/>
      <c r="L741" s="2085"/>
      <c r="M741" s="2085"/>
      <c r="N741" s="2086"/>
      <c r="O741" s="2088"/>
      <c r="P741" s="2089"/>
      <c r="Q741" s="2089"/>
      <c r="R741" s="2089"/>
      <c r="S741" s="2090"/>
      <c r="T741" s="2091">
        <f t="shared" si="47"/>
        <v>0</v>
      </c>
      <c r="U741" s="2092"/>
      <c r="V741" s="2092"/>
      <c r="W741" s="2092"/>
      <c r="X741" s="2093"/>
      <c r="Y741" s="2088">
        <v>0</v>
      </c>
      <c r="Z741" s="2089"/>
      <c r="AA741" s="2089"/>
      <c r="AB741" s="2090"/>
      <c r="AC741" s="2091">
        <f t="shared" si="48"/>
        <v>0</v>
      </c>
      <c r="AD741" s="2092"/>
      <c r="AE741" s="2092"/>
      <c r="AF741" s="2092"/>
      <c r="AG741" s="2093"/>
      <c r="AH741" s="1908">
        <v>0</v>
      </c>
      <c r="AI741" s="1909"/>
      <c r="AJ741" s="1909"/>
      <c r="AK741" s="1909"/>
      <c r="AL741" s="1910"/>
      <c r="AM741" s="1905" t="str">
        <f t="shared" si="49"/>
        <v xml:space="preserve"> </v>
      </c>
      <c r="AN741" s="1906"/>
      <c r="AO741" s="190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01"/>
      <c r="C742" s="2102"/>
      <c r="D742" s="2102"/>
      <c r="E742" s="2102"/>
      <c r="F742" s="2103"/>
      <c r="G742" s="2118"/>
      <c r="H742" s="2119"/>
      <c r="I742" s="2119"/>
      <c r="J742" s="2120"/>
      <c r="K742" s="2084"/>
      <c r="L742" s="2085"/>
      <c r="M742" s="2085"/>
      <c r="N742" s="2086"/>
      <c r="O742" s="2088"/>
      <c r="P742" s="2089"/>
      <c r="Q742" s="2089"/>
      <c r="R742" s="2089"/>
      <c r="S742" s="2090"/>
      <c r="T742" s="2091">
        <f t="shared" si="47"/>
        <v>0</v>
      </c>
      <c r="U742" s="2092"/>
      <c r="V742" s="2092"/>
      <c r="W742" s="2092"/>
      <c r="X742" s="2093"/>
      <c r="Y742" s="2088">
        <v>0</v>
      </c>
      <c r="Z742" s="2089"/>
      <c r="AA742" s="2089"/>
      <c r="AB742" s="2090"/>
      <c r="AC742" s="2091">
        <f t="shared" si="48"/>
        <v>0</v>
      </c>
      <c r="AD742" s="2092"/>
      <c r="AE742" s="2092"/>
      <c r="AF742" s="2092"/>
      <c r="AG742" s="2093"/>
      <c r="AH742" s="1908">
        <v>0</v>
      </c>
      <c r="AI742" s="1909"/>
      <c r="AJ742" s="1909"/>
      <c r="AK742" s="1909"/>
      <c r="AL742" s="1910"/>
      <c r="AM742" s="1905" t="str">
        <f t="shared" si="49"/>
        <v xml:space="preserve"> </v>
      </c>
      <c r="AN742" s="1906"/>
      <c r="AO742" s="190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01"/>
      <c r="C743" s="2102"/>
      <c r="D743" s="2102"/>
      <c r="E743" s="2102"/>
      <c r="F743" s="2103"/>
      <c r="G743" s="2118"/>
      <c r="H743" s="2119"/>
      <c r="I743" s="2119"/>
      <c r="J743" s="2120"/>
      <c r="K743" s="2084"/>
      <c r="L743" s="2085"/>
      <c r="M743" s="2085"/>
      <c r="N743" s="2086"/>
      <c r="O743" s="2088"/>
      <c r="P743" s="2089"/>
      <c r="Q743" s="2089"/>
      <c r="R743" s="2089"/>
      <c r="S743" s="2090"/>
      <c r="T743" s="2091">
        <f t="shared" si="47"/>
        <v>0</v>
      </c>
      <c r="U743" s="2092"/>
      <c r="V743" s="2092"/>
      <c r="W743" s="2092"/>
      <c r="X743" s="2093"/>
      <c r="Y743" s="2088">
        <v>0</v>
      </c>
      <c r="Z743" s="2089"/>
      <c r="AA743" s="2089"/>
      <c r="AB743" s="2090"/>
      <c r="AC743" s="2091">
        <f t="shared" si="48"/>
        <v>0</v>
      </c>
      <c r="AD743" s="2092"/>
      <c r="AE743" s="2092"/>
      <c r="AF743" s="2092"/>
      <c r="AG743" s="2093"/>
      <c r="AH743" s="1908">
        <v>0</v>
      </c>
      <c r="AI743" s="1909"/>
      <c r="AJ743" s="1909"/>
      <c r="AK743" s="1909"/>
      <c r="AL743" s="1910"/>
      <c r="AM743" s="1905" t="str">
        <f t="shared" si="49"/>
        <v xml:space="preserve"> </v>
      </c>
      <c r="AN743" s="1906"/>
      <c r="AO743" s="190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01"/>
      <c r="C744" s="2102"/>
      <c r="D744" s="2102"/>
      <c r="E744" s="2102"/>
      <c r="F744" s="2103"/>
      <c r="G744" s="2118"/>
      <c r="H744" s="2119"/>
      <c r="I744" s="2119"/>
      <c r="J744" s="2120"/>
      <c r="K744" s="2084"/>
      <c r="L744" s="2085"/>
      <c r="M744" s="2085"/>
      <c r="N744" s="2086"/>
      <c r="O744" s="2088"/>
      <c r="P744" s="2089"/>
      <c r="Q744" s="2089"/>
      <c r="R744" s="2089"/>
      <c r="S744" s="2090"/>
      <c r="T744" s="2091">
        <f t="shared" si="47"/>
        <v>0</v>
      </c>
      <c r="U744" s="2092"/>
      <c r="V744" s="2092"/>
      <c r="W744" s="2092"/>
      <c r="X744" s="2093"/>
      <c r="Y744" s="2088">
        <v>0</v>
      </c>
      <c r="Z744" s="2089"/>
      <c r="AA744" s="2089"/>
      <c r="AB744" s="2090"/>
      <c r="AC744" s="2091">
        <f t="shared" si="48"/>
        <v>0</v>
      </c>
      <c r="AD744" s="2092"/>
      <c r="AE744" s="2092"/>
      <c r="AF744" s="2092"/>
      <c r="AG744" s="2093"/>
      <c r="AH744" s="1908">
        <v>0</v>
      </c>
      <c r="AI744" s="1909"/>
      <c r="AJ744" s="1909"/>
      <c r="AK744" s="1909"/>
      <c r="AL744" s="1910"/>
      <c r="AM744" s="1905" t="str">
        <f t="shared" si="49"/>
        <v xml:space="preserve"> </v>
      </c>
      <c r="AN744" s="1906"/>
      <c r="AO744" s="190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01"/>
      <c r="C745" s="2102"/>
      <c r="D745" s="2102"/>
      <c r="E745" s="2102"/>
      <c r="F745" s="2103"/>
      <c r="G745" s="2118"/>
      <c r="H745" s="2119"/>
      <c r="I745" s="2119"/>
      <c r="J745" s="2120"/>
      <c r="K745" s="2084"/>
      <c r="L745" s="2085"/>
      <c r="M745" s="2085"/>
      <c r="N745" s="2086"/>
      <c r="O745" s="2088"/>
      <c r="P745" s="2089"/>
      <c r="Q745" s="2089"/>
      <c r="R745" s="2089"/>
      <c r="S745" s="2090"/>
      <c r="T745" s="2091">
        <f t="shared" si="47"/>
        <v>0</v>
      </c>
      <c r="U745" s="2092"/>
      <c r="V745" s="2092"/>
      <c r="W745" s="2092"/>
      <c r="X745" s="2093"/>
      <c r="Y745" s="2088">
        <v>0</v>
      </c>
      <c r="Z745" s="2089"/>
      <c r="AA745" s="2089"/>
      <c r="AB745" s="2090"/>
      <c r="AC745" s="2091">
        <f t="shared" si="48"/>
        <v>0</v>
      </c>
      <c r="AD745" s="2092"/>
      <c r="AE745" s="2092"/>
      <c r="AF745" s="2092"/>
      <c r="AG745" s="2093"/>
      <c r="AH745" s="1908">
        <v>0</v>
      </c>
      <c r="AI745" s="1909"/>
      <c r="AJ745" s="1909"/>
      <c r="AK745" s="1909"/>
      <c r="AL745" s="1910"/>
      <c r="AM745" s="1905" t="str">
        <f t="shared" si="49"/>
        <v xml:space="preserve"> </v>
      </c>
      <c r="AN745" s="1906"/>
      <c r="AO745" s="190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01"/>
      <c r="C746" s="2102"/>
      <c r="D746" s="2102"/>
      <c r="E746" s="2102"/>
      <c r="F746" s="2103"/>
      <c r="G746" s="2118"/>
      <c r="H746" s="2119"/>
      <c r="I746" s="2119"/>
      <c r="J746" s="2120"/>
      <c r="K746" s="2084"/>
      <c r="L746" s="2085"/>
      <c r="M746" s="2085"/>
      <c r="N746" s="2086"/>
      <c r="O746" s="2088"/>
      <c r="P746" s="2089"/>
      <c r="Q746" s="2089"/>
      <c r="R746" s="2089"/>
      <c r="S746" s="2090"/>
      <c r="T746" s="2091">
        <f t="shared" si="47"/>
        <v>0</v>
      </c>
      <c r="U746" s="2092"/>
      <c r="V746" s="2092"/>
      <c r="W746" s="2092"/>
      <c r="X746" s="2093"/>
      <c r="Y746" s="2088">
        <v>0</v>
      </c>
      <c r="Z746" s="2089"/>
      <c r="AA746" s="2089"/>
      <c r="AB746" s="2090"/>
      <c r="AC746" s="2091">
        <f t="shared" si="48"/>
        <v>0</v>
      </c>
      <c r="AD746" s="2092"/>
      <c r="AE746" s="2092"/>
      <c r="AF746" s="2092"/>
      <c r="AG746" s="2093"/>
      <c r="AH746" s="1908">
        <v>0</v>
      </c>
      <c r="AI746" s="1909"/>
      <c r="AJ746" s="1909"/>
      <c r="AK746" s="1909"/>
      <c r="AL746" s="1910"/>
      <c r="AM746" s="1905" t="str">
        <f t="shared" si="49"/>
        <v xml:space="preserve"> </v>
      </c>
      <c r="AN746" s="1906"/>
      <c r="AO746" s="190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01"/>
      <c r="C747" s="2102"/>
      <c r="D747" s="2102"/>
      <c r="E747" s="2102"/>
      <c r="F747" s="2103"/>
      <c r="G747" s="2118"/>
      <c r="H747" s="2119"/>
      <c r="I747" s="2119"/>
      <c r="J747" s="2120"/>
      <c r="K747" s="2084"/>
      <c r="L747" s="2085"/>
      <c r="M747" s="2085"/>
      <c r="N747" s="2086"/>
      <c r="O747" s="2088"/>
      <c r="P747" s="2089"/>
      <c r="Q747" s="2089"/>
      <c r="R747" s="2089"/>
      <c r="S747" s="2090"/>
      <c r="T747" s="2091">
        <f t="shared" si="47"/>
        <v>0</v>
      </c>
      <c r="U747" s="2092"/>
      <c r="V747" s="2092"/>
      <c r="W747" s="2092"/>
      <c r="X747" s="2093"/>
      <c r="Y747" s="2088">
        <v>0</v>
      </c>
      <c r="Z747" s="2089"/>
      <c r="AA747" s="2089"/>
      <c r="AB747" s="2090"/>
      <c r="AC747" s="2091">
        <f t="shared" si="48"/>
        <v>0</v>
      </c>
      <c r="AD747" s="2092"/>
      <c r="AE747" s="2092"/>
      <c r="AF747" s="2092"/>
      <c r="AG747" s="2093"/>
      <c r="AH747" s="1908">
        <v>0</v>
      </c>
      <c r="AI747" s="1909"/>
      <c r="AJ747" s="1909"/>
      <c r="AK747" s="1909"/>
      <c r="AL747" s="1910"/>
      <c r="AM747" s="1905" t="str">
        <f t="shared" si="49"/>
        <v xml:space="preserve"> </v>
      </c>
      <c r="AN747" s="1906"/>
      <c r="AO747" s="190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01"/>
      <c r="C748" s="2102"/>
      <c r="D748" s="2102"/>
      <c r="E748" s="2102"/>
      <c r="F748" s="2103"/>
      <c r="G748" s="2118"/>
      <c r="H748" s="2119"/>
      <c r="I748" s="2119"/>
      <c r="J748" s="2120"/>
      <c r="K748" s="2084"/>
      <c r="L748" s="2085"/>
      <c r="M748" s="2085"/>
      <c r="N748" s="2086"/>
      <c r="O748" s="2088"/>
      <c r="P748" s="2089"/>
      <c r="Q748" s="2089"/>
      <c r="R748" s="2089"/>
      <c r="S748" s="2090"/>
      <c r="T748" s="2091">
        <f t="shared" si="47"/>
        <v>0</v>
      </c>
      <c r="U748" s="2092"/>
      <c r="V748" s="2092"/>
      <c r="W748" s="2092"/>
      <c r="X748" s="2093"/>
      <c r="Y748" s="2088">
        <v>0</v>
      </c>
      <c r="Z748" s="2089"/>
      <c r="AA748" s="2089"/>
      <c r="AB748" s="2090"/>
      <c r="AC748" s="2091">
        <f t="shared" si="48"/>
        <v>0</v>
      </c>
      <c r="AD748" s="2092"/>
      <c r="AE748" s="2092"/>
      <c r="AF748" s="2092"/>
      <c r="AG748" s="2093"/>
      <c r="AH748" s="1908">
        <v>0</v>
      </c>
      <c r="AI748" s="1909"/>
      <c r="AJ748" s="1909"/>
      <c r="AK748" s="1909"/>
      <c r="AL748" s="1910"/>
      <c r="AM748" s="1905" t="str">
        <f t="shared" si="49"/>
        <v xml:space="preserve"> </v>
      </c>
      <c r="AN748" s="1906"/>
      <c r="AO748" s="190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01"/>
      <c r="C749" s="2102"/>
      <c r="D749" s="2102"/>
      <c r="E749" s="2102"/>
      <c r="F749" s="2103"/>
      <c r="G749" s="2118"/>
      <c r="H749" s="2119"/>
      <c r="I749" s="2119"/>
      <c r="J749" s="2120"/>
      <c r="K749" s="2084"/>
      <c r="L749" s="2085"/>
      <c r="M749" s="2085"/>
      <c r="N749" s="2086"/>
      <c r="O749" s="2088"/>
      <c r="P749" s="2089"/>
      <c r="Q749" s="2089"/>
      <c r="R749" s="2089"/>
      <c r="S749" s="2090"/>
      <c r="T749" s="2091">
        <f t="shared" si="47"/>
        <v>0</v>
      </c>
      <c r="U749" s="2092"/>
      <c r="V749" s="2092"/>
      <c r="W749" s="2092"/>
      <c r="X749" s="2093"/>
      <c r="Y749" s="2088">
        <v>0</v>
      </c>
      <c r="Z749" s="2089"/>
      <c r="AA749" s="2089"/>
      <c r="AB749" s="2090"/>
      <c r="AC749" s="2091">
        <f t="shared" si="48"/>
        <v>0</v>
      </c>
      <c r="AD749" s="2092"/>
      <c r="AE749" s="2092"/>
      <c r="AF749" s="2092"/>
      <c r="AG749" s="2093"/>
      <c r="AH749" s="1908">
        <v>0</v>
      </c>
      <c r="AI749" s="1909"/>
      <c r="AJ749" s="1909"/>
      <c r="AK749" s="1909"/>
      <c r="AL749" s="1910"/>
      <c r="AM749" s="1905" t="str">
        <f t="shared" si="49"/>
        <v xml:space="preserve"> </v>
      </c>
      <c r="AN749" s="1906"/>
      <c r="AO749" s="190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01"/>
      <c r="C750" s="2102"/>
      <c r="D750" s="2102"/>
      <c r="E750" s="2102"/>
      <c r="F750" s="2103"/>
      <c r="G750" s="2118"/>
      <c r="H750" s="2119"/>
      <c r="I750" s="2119"/>
      <c r="J750" s="2120"/>
      <c r="K750" s="2084"/>
      <c r="L750" s="2085"/>
      <c r="M750" s="2085"/>
      <c r="N750" s="2086"/>
      <c r="O750" s="2088"/>
      <c r="P750" s="2089"/>
      <c r="Q750" s="2089"/>
      <c r="R750" s="2089"/>
      <c r="S750" s="2090"/>
      <c r="T750" s="2091">
        <f t="shared" si="47"/>
        <v>0</v>
      </c>
      <c r="U750" s="2092"/>
      <c r="V750" s="2092"/>
      <c r="W750" s="2092"/>
      <c r="X750" s="2093"/>
      <c r="Y750" s="2088">
        <v>0</v>
      </c>
      <c r="Z750" s="2089"/>
      <c r="AA750" s="2089"/>
      <c r="AB750" s="2090"/>
      <c r="AC750" s="2091">
        <f t="shared" si="48"/>
        <v>0</v>
      </c>
      <c r="AD750" s="2092"/>
      <c r="AE750" s="2092"/>
      <c r="AF750" s="2092"/>
      <c r="AG750" s="2093"/>
      <c r="AH750" s="1908">
        <v>0</v>
      </c>
      <c r="AI750" s="1909"/>
      <c r="AJ750" s="1909"/>
      <c r="AK750" s="1909"/>
      <c r="AL750" s="1910"/>
      <c r="AM750" s="1905" t="str">
        <f t="shared" si="49"/>
        <v xml:space="preserve"> </v>
      </c>
      <c r="AN750" s="1906"/>
      <c r="AO750" s="190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9" customHeight="1">
      <c r="B751" s="2101"/>
      <c r="C751" s="2102"/>
      <c r="D751" s="2102"/>
      <c r="E751" s="2102"/>
      <c r="F751" s="2103"/>
      <c r="G751" s="2118"/>
      <c r="H751" s="2119"/>
      <c r="I751" s="2119"/>
      <c r="J751" s="2120"/>
      <c r="K751" s="2084"/>
      <c r="L751" s="2085"/>
      <c r="M751" s="2085"/>
      <c r="N751" s="2086"/>
      <c r="O751" s="2088"/>
      <c r="P751" s="2089"/>
      <c r="Q751" s="2089"/>
      <c r="R751" s="2089"/>
      <c r="S751" s="2090"/>
      <c r="T751" s="2091">
        <f t="shared" si="47"/>
        <v>0</v>
      </c>
      <c r="U751" s="2092"/>
      <c r="V751" s="2092"/>
      <c r="W751" s="2092"/>
      <c r="X751" s="2093"/>
      <c r="Y751" s="2088">
        <v>0</v>
      </c>
      <c r="Z751" s="2089"/>
      <c r="AA751" s="2089"/>
      <c r="AB751" s="2090"/>
      <c r="AC751" s="2091">
        <f t="shared" si="48"/>
        <v>0</v>
      </c>
      <c r="AD751" s="2092"/>
      <c r="AE751" s="2092"/>
      <c r="AF751" s="2092"/>
      <c r="AG751" s="2093"/>
      <c r="AH751" s="1908">
        <v>0</v>
      </c>
      <c r="AI751" s="1909"/>
      <c r="AJ751" s="1909"/>
      <c r="AK751" s="1909"/>
      <c r="AL751" s="1910"/>
      <c r="AM751" s="1905" t="str">
        <f t="shared" si="49"/>
        <v xml:space="preserve"> </v>
      </c>
      <c r="AN751" s="1906"/>
      <c r="AO751" s="190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01"/>
      <c r="C752" s="2102"/>
      <c r="D752" s="2102"/>
      <c r="E752" s="2102"/>
      <c r="F752" s="2103"/>
      <c r="G752" s="2118"/>
      <c r="H752" s="2119"/>
      <c r="I752" s="2119"/>
      <c r="J752" s="2120"/>
      <c r="K752" s="2084"/>
      <c r="L752" s="2085"/>
      <c r="M752" s="2085"/>
      <c r="N752" s="2086"/>
      <c r="O752" s="2088"/>
      <c r="P752" s="2089"/>
      <c r="Q752" s="2089"/>
      <c r="R752" s="2089"/>
      <c r="S752" s="2090"/>
      <c r="T752" s="2091">
        <f t="shared" si="47"/>
        <v>0</v>
      </c>
      <c r="U752" s="2092"/>
      <c r="V752" s="2092"/>
      <c r="W752" s="2092"/>
      <c r="X752" s="2093"/>
      <c r="Y752" s="2088">
        <v>0</v>
      </c>
      <c r="Z752" s="2089"/>
      <c r="AA752" s="2089"/>
      <c r="AB752" s="2090"/>
      <c r="AC752" s="2091">
        <f t="shared" si="48"/>
        <v>0</v>
      </c>
      <c r="AD752" s="2092"/>
      <c r="AE752" s="2092"/>
      <c r="AF752" s="2092"/>
      <c r="AG752" s="2093"/>
      <c r="AH752" s="1908">
        <v>0</v>
      </c>
      <c r="AI752" s="1909"/>
      <c r="AJ752" s="1909"/>
      <c r="AK752" s="1909"/>
      <c r="AL752" s="1910"/>
      <c r="AM752" s="1905" t="str">
        <f t="shared" si="49"/>
        <v xml:space="preserve"> </v>
      </c>
      <c r="AN752" s="1906"/>
      <c r="AO752" s="190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21" t="s">
        <v>130</v>
      </c>
      <c r="C753" s="2122"/>
      <c r="D753" s="2122"/>
      <c r="E753" s="2122"/>
      <c r="F753" s="2123"/>
      <c r="G753" s="2320">
        <f>SUM(G728:J752)</f>
        <v>65</v>
      </c>
      <c r="H753" s="2321"/>
      <c r="I753" s="2321"/>
      <c r="J753" s="2322"/>
      <c r="O753" s="1506" t="s">
        <v>129</v>
      </c>
      <c r="P753" s="1507"/>
      <c r="Q753" s="1507"/>
      <c r="R753" s="1507"/>
      <c r="S753" s="1508"/>
      <c r="T753" s="2091">
        <f>SUM(T728:X752)</f>
        <v>74573</v>
      </c>
      <c r="U753" s="2092"/>
      <c r="V753" s="2092"/>
      <c r="W753" s="2092"/>
      <c r="X753" s="2093"/>
      <c r="AC753" s="1510" t="s">
        <v>973</v>
      </c>
      <c r="AD753" s="1509"/>
      <c r="AE753" s="1509"/>
      <c r="AF753" s="1509"/>
      <c r="AG753" s="1511"/>
      <c r="AH753" s="2174">
        <f>BI696</f>
        <v>0.58000000000000007</v>
      </c>
      <c r="AI753" s="2175"/>
      <c r="AJ753" s="2175"/>
      <c r="AK753" s="2175"/>
      <c r="AL753" s="2176"/>
      <c r="AM753" s="2174">
        <f>BI728</f>
        <v>0.57999407710636408</v>
      </c>
      <c r="AN753" s="2175"/>
      <c r="AO753" s="2176"/>
      <c r="AP753" s="1501"/>
      <c r="AQ753" s="1501"/>
      <c r="AR753" s="1501"/>
      <c r="AS753" s="1501"/>
      <c r="AT753" s="1501"/>
      <c r="AU753" s="1501"/>
      <c r="AV753" s="1501"/>
      <c r="AW753" s="1501"/>
      <c r="AX753" s="1501"/>
      <c r="AY753" s="1501"/>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836"/>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126" t="s">
        <v>628</v>
      </c>
      <c r="AG755" s="2126"/>
      <c r="AH755" s="2126"/>
      <c r="AL755" s="58"/>
      <c r="AM755" s="239"/>
      <c r="AN755" s="239"/>
      <c r="AO755" s="239"/>
      <c r="AP755" s="239"/>
      <c r="AQ755" s="239"/>
      <c r="AR755" s="239"/>
      <c r="AS755" s="239"/>
      <c r="AT755" s="239"/>
      <c r="AU755" s="239"/>
      <c r="AV755" s="239"/>
      <c r="AW755" s="239"/>
      <c r="AX755" s="239"/>
      <c r="AY755" s="239"/>
      <c r="AZ755" s="1343"/>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02"/>
      <c r="AN757" s="1502"/>
      <c r="AO757" s="1502"/>
      <c r="AP757" s="1502"/>
      <c r="AQ757" s="1502"/>
      <c r="AR757" s="1502"/>
      <c r="AS757" s="1502"/>
      <c r="AT757" s="1502"/>
      <c r="AU757" s="1502"/>
      <c r="AV757" s="1502"/>
      <c r="AW757" s="1502"/>
      <c r="AX757" s="1502"/>
      <c r="AY757" s="1502"/>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2181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9" customHeight="1">
      <c r="A762" s="50"/>
      <c r="B762" s="91"/>
      <c r="C762" s="92" t="s">
        <v>2182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837"/>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41" t="s">
        <v>409</v>
      </c>
      <c r="K768" s="2142"/>
      <c r="L768" s="2142"/>
      <c r="M768" s="2142"/>
      <c r="N768" s="2143"/>
      <c r="O768" s="2205" t="s">
        <v>293</v>
      </c>
      <c r="P768" s="2205"/>
      <c r="Q768" s="2205"/>
      <c r="R768" s="2205"/>
      <c r="S768" s="2205"/>
      <c r="T768" s="2150" t="s">
        <v>2175</v>
      </c>
      <c r="U768" s="2151"/>
      <c r="V768" s="2151"/>
      <c r="W768" s="2152"/>
      <c r="X768" s="2141" t="s">
        <v>480</v>
      </c>
      <c r="Y768" s="2142"/>
      <c r="Z768" s="2142"/>
      <c r="AA768" s="2142"/>
      <c r="AB768" s="2143"/>
      <c r="AC768" s="2141" t="s">
        <v>294</v>
      </c>
      <c r="AD768" s="2142"/>
      <c r="AE768" s="2142"/>
      <c r="AF768" s="2142"/>
      <c r="AG768" s="214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44"/>
      <c r="K769" s="2145"/>
      <c r="L769" s="2145"/>
      <c r="M769" s="2145"/>
      <c r="N769" s="2146"/>
      <c r="O769" s="2205"/>
      <c r="P769" s="2205"/>
      <c r="Q769" s="2205"/>
      <c r="R769" s="2205"/>
      <c r="S769" s="2205"/>
      <c r="T769" s="2153"/>
      <c r="U769" s="2154"/>
      <c r="V769" s="2154"/>
      <c r="W769" s="2155"/>
      <c r="X769" s="2144"/>
      <c r="Y769" s="2145"/>
      <c r="Z769" s="2145"/>
      <c r="AA769" s="2145"/>
      <c r="AB769" s="2146"/>
      <c r="AC769" s="2144"/>
      <c r="AD769" s="2145"/>
      <c r="AE769" s="2145"/>
      <c r="AF769" s="2145"/>
      <c r="AG769" s="2146"/>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44"/>
      <c r="K770" s="2145"/>
      <c r="L770" s="2145"/>
      <c r="M770" s="2145"/>
      <c r="N770" s="2146"/>
      <c r="O770" s="2205"/>
      <c r="P770" s="2205"/>
      <c r="Q770" s="2205"/>
      <c r="R770" s="2205"/>
      <c r="S770" s="2205"/>
      <c r="T770" s="2153"/>
      <c r="U770" s="2154"/>
      <c r="V770" s="2154"/>
      <c r="W770" s="2155"/>
      <c r="X770" s="2144"/>
      <c r="Y770" s="2145"/>
      <c r="Z770" s="2145"/>
      <c r="AA770" s="2145"/>
      <c r="AB770" s="2146"/>
      <c r="AC770" s="2144"/>
      <c r="AD770" s="2145"/>
      <c r="AE770" s="2145"/>
      <c r="AF770" s="2145"/>
      <c r="AG770" s="2146"/>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47"/>
      <c r="K771" s="2148"/>
      <c r="L771" s="2148"/>
      <c r="M771" s="2148"/>
      <c r="N771" s="2149"/>
      <c r="O771" s="2205"/>
      <c r="P771" s="2205"/>
      <c r="Q771" s="2205"/>
      <c r="R771" s="2205"/>
      <c r="S771" s="2205"/>
      <c r="T771" s="2315"/>
      <c r="U771" s="2316"/>
      <c r="V771" s="2316"/>
      <c r="W771" s="2317"/>
      <c r="X771" s="2147"/>
      <c r="Y771" s="2148"/>
      <c r="Z771" s="2148"/>
      <c r="AA771" s="2148"/>
      <c r="AB771" s="2149"/>
      <c r="AC771" s="2147"/>
      <c r="AD771" s="2148"/>
      <c r="AE771" s="2148"/>
      <c r="AF771" s="2148"/>
      <c r="AG771" s="214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01" t="s">
        <v>169</v>
      </c>
      <c r="K772" s="2102"/>
      <c r="L772" s="2102"/>
      <c r="M772" s="2102"/>
      <c r="N772" s="2103"/>
      <c r="O772" s="2124">
        <v>1</v>
      </c>
      <c r="P772" s="2124"/>
      <c r="Q772" s="2124"/>
      <c r="R772" s="2124"/>
      <c r="S772" s="2124"/>
      <c r="T772" s="2084">
        <v>1100</v>
      </c>
      <c r="U772" s="2085"/>
      <c r="V772" s="2085"/>
      <c r="W772" s="2086"/>
      <c r="X772" s="2088"/>
      <c r="Y772" s="2089"/>
      <c r="Z772" s="2089"/>
      <c r="AA772" s="2089"/>
      <c r="AB772" s="2090"/>
      <c r="AC772" s="2091">
        <f>X772*O772</f>
        <v>0</v>
      </c>
      <c r="AD772" s="2092"/>
      <c r="AE772" s="2092"/>
      <c r="AF772" s="2092"/>
      <c r="AG772" s="209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01"/>
      <c r="K773" s="2102"/>
      <c r="L773" s="2102"/>
      <c r="M773" s="2102"/>
      <c r="N773" s="2103"/>
      <c r="O773" s="2124"/>
      <c r="P773" s="2124"/>
      <c r="Q773" s="2124"/>
      <c r="R773" s="2124"/>
      <c r="S773" s="2124"/>
      <c r="T773" s="2084"/>
      <c r="U773" s="2085"/>
      <c r="V773" s="2085"/>
      <c r="W773" s="2086"/>
      <c r="X773" s="2088"/>
      <c r="Y773" s="2089"/>
      <c r="Z773" s="2089"/>
      <c r="AA773" s="2089"/>
      <c r="AB773" s="2090"/>
      <c r="AC773" s="2091">
        <f>X773*O773</f>
        <v>0</v>
      </c>
      <c r="AD773" s="2092"/>
      <c r="AE773" s="2092"/>
      <c r="AF773" s="2092"/>
      <c r="AG773" s="209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01"/>
      <c r="K774" s="2102"/>
      <c r="L774" s="2102"/>
      <c r="M774" s="2102"/>
      <c r="N774" s="2103"/>
      <c r="O774" s="2124"/>
      <c r="P774" s="2124"/>
      <c r="Q774" s="2124"/>
      <c r="R774" s="2124"/>
      <c r="S774" s="2124"/>
      <c r="T774" s="2084"/>
      <c r="U774" s="2085"/>
      <c r="V774" s="2085"/>
      <c r="W774" s="2086"/>
      <c r="X774" s="2088"/>
      <c r="Y774" s="2089"/>
      <c r="Z774" s="2089"/>
      <c r="AA774" s="2089"/>
      <c r="AB774" s="2090"/>
      <c r="AC774" s="2091">
        <f>X774*O774</f>
        <v>0</v>
      </c>
      <c r="AD774" s="2092"/>
      <c r="AE774" s="2092"/>
      <c r="AF774" s="2092"/>
      <c r="AG774" s="209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01"/>
      <c r="K775" s="2102"/>
      <c r="L775" s="2102"/>
      <c r="M775" s="2102"/>
      <c r="N775" s="2103"/>
      <c r="O775" s="2124"/>
      <c r="P775" s="2124"/>
      <c r="Q775" s="2124"/>
      <c r="R775" s="2124"/>
      <c r="S775" s="2124"/>
      <c r="T775" s="2084"/>
      <c r="U775" s="2085"/>
      <c r="V775" s="2085"/>
      <c r="W775" s="2086"/>
      <c r="X775" s="2088"/>
      <c r="Y775" s="2089"/>
      <c r="Z775" s="2089"/>
      <c r="AA775" s="2089"/>
      <c r="AB775" s="2090"/>
      <c r="AC775" s="2091">
        <f>X775*O775</f>
        <v>0</v>
      </c>
      <c r="AD775" s="2092"/>
      <c r="AE775" s="2092"/>
      <c r="AF775" s="2092"/>
      <c r="AG775" s="209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21" t="s">
        <v>130</v>
      </c>
      <c r="K776" s="2122"/>
      <c r="L776" s="2122"/>
      <c r="M776" s="2122"/>
      <c r="N776" s="2123"/>
      <c r="O776" s="2109">
        <f>SUM(O772:S775)</f>
        <v>1</v>
      </c>
      <c r="P776" s="2110"/>
      <c r="Q776" s="2110"/>
      <c r="R776" s="2110"/>
      <c r="S776" s="2111"/>
      <c r="X776" s="2200" t="s">
        <v>129</v>
      </c>
      <c r="Y776" s="2201"/>
      <c r="Z776" s="2201"/>
      <c r="AA776" s="2201"/>
      <c r="AB776" s="2202"/>
      <c r="AC776" s="2091">
        <f>SUM(AC772:AG775)</f>
        <v>0</v>
      </c>
      <c r="AD776" s="2092"/>
      <c r="AE776" s="2092"/>
      <c r="AF776" s="2092"/>
      <c r="AG776" s="2093"/>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28" t="s">
        <v>708</v>
      </c>
      <c r="K778" s="2128"/>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837"/>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41" t="s">
        <v>409</v>
      </c>
      <c r="K782" s="2142"/>
      <c r="L782" s="2142"/>
      <c r="M782" s="2142"/>
      <c r="N782" s="2143"/>
      <c r="O782" s="2205" t="s">
        <v>293</v>
      </c>
      <c r="P782" s="2205"/>
      <c r="Q782" s="2205"/>
      <c r="R782" s="2205"/>
      <c r="S782" s="2205"/>
      <c r="T782" s="2150" t="s">
        <v>2175</v>
      </c>
      <c r="U782" s="2151"/>
      <c r="V782" s="2151"/>
      <c r="W782" s="2152"/>
      <c r="X782" s="2141" t="s">
        <v>480</v>
      </c>
      <c r="Y782" s="2142"/>
      <c r="Z782" s="2142"/>
      <c r="AA782" s="2142"/>
      <c r="AB782" s="2143"/>
      <c r="AC782" s="2141" t="s">
        <v>294</v>
      </c>
      <c r="AD782" s="2142"/>
      <c r="AE782" s="2142"/>
      <c r="AF782" s="2142"/>
      <c r="AG782" s="2143"/>
      <c r="AH782" s="2129" t="s">
        <v>2473</v>
      </c>
      <c r="AI782" s="2130"/>
      <c r="AJ782" s="2130"/>
      <c r="AK782" s="2130"/>
      <c r="AL782" s="213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44"/>
      <c r="K783" s="2145"/>
      <c r="L783" s="2145"/>
      <c r="M783" s="2145"/>
      <c r="N783" s="2146"/>
      <c r="O783" s="2205"/>
      <c r="P783" s="2205"/>
      <c r="Q783" s="2205"/>
      <c r="R783" s="2205"/>
      <c r="S783" s="2205"/>
      <c r="T783" s="2153"/>
      <c r="U783" s="2154"/>
      <c r="V783" s="2154"/>
      <c r="W783" s="2155"/>
      <c r="X783" s="2144"/>
      <c r="Y783" s="2145"/>
      <c r="Z783" s="2145"/>
      <c r="AA783" s="2145"/>
      <c r="AB783" s="2146"/>
      <c r="AC783" s="2144"/>
      <c r="AD783" s="2145"/>
      <c r="AE783" s="2145"/>
      <c r="AF783" s="2145"/>
      <c r="AG783" s="2146"/>
      <c r="AH783" s="2132"/>
      <c r="AI783" s="2133"/>
      <c r="AJ783" s="2133"/>
      <c r="AK783" s="2133"/>
      <c r="AL783" s="213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44"/>
      <c r="K784" s="2145"/>
      <c r="L784" s="2145"/>
      <c r="M784" s="2145"/>
      <c r="N784" s="2146"/>
      <c r="O784" s="2205"/>
      <c r="P784" s="2205"/>
      <c r="Q784" s="2205"/>
      <c r="R784" s="2205"/>
      <c r="S784" s="2205"/>
      <c r="T784" s="2153"/>
      <c r="U784" s="2154"/>
      <c r="V784" s="2154"/>
      <c r="W784" s="2155"/>
      <c r="X784" s="2144"/>
      <c r="Y784" s="2145"/>
      <c r="Z784" s="2145"/>
      <c r="AA784" s="2145"/>
      <c r="AB784" s="2146"/>
      <c r="AC784" s="2144"/>
      <c r="AD784" s="2145"/>
      <c r="AE784" s="2145"/>
      <c r="AF784" s="2145"/>
      <c r="AG784" s="2146"/>
      <c r="AH784" s="2132"/>
      <c r="AI784" s="2133"/>
      <c r="AJ784" s="2133"/>
      <c r="AK784" s="2133"/>
      <c r="AL784" s="213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47"/>
      <c r="K785" s="2148"/>
      <c r="L785" s="2148"/>
      <c r="M785" s="2148"/>
      <c r="N785" s="2149"/>
      <c r="O785" s="2205"/>
      <c r="P785" s="2205"/>
      <c r="Q785" s="2205"/>
      <c r="R785" s="2205"/>
      <c r="S785" s="2205"/>
      <c r="T785" s="2315"/>
      <c r="U785" s="2316"/>
      <c r="V785" s="2316"/>
      <c r="W785" s="2317"/>
      <c r="X785" s="2147"/>
      <c r="Y785" s="2148"/>
      <c r="Z785" s="2148"/>
      <c r="AA785" s="2148"/>
      <c r="AB785" s="2149"/>
      <c r="AC785" s="2147"/>
      <c r="AD785" s="2148"/>
      <c r="AE785" s="2148"/>
      <c r="AF785" s="2148"/>
      <c r="AG785" s="2149"/>
      <c r="AH785" s="2135"/>
      <c r="AI785" s="2136"/>
      <c r="AJ785" s="2136"/>
      <c r="AK785" s="2136"/>
      <c r="AL785" s="213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01"/>
      <c r="K786" s="2102"/>
      <c r="L786" s="2102"/>
      <c r="M786" s="2102"/>
      <c r="N786" s="2103"/>
      <c r="O786" s="2124"/>
      <c r="P786" s="2124"/>
      <c r="Q786" s="2124"/>
      <c r="R786" s="2124"/>
      <c r="S786" s="2124"/>
      <c r="T786" s="2084"/>
      <c r="U786" s="2085"/>
      <c r="V786" s="2085"/>
      <c r="W786" s="2086"/>
      <c r="X786" s="2088"/>
      <c r="Y786" s="2089"/>
      <c r="Z786" s="2089"/>
      <c r="AA786" s="2089"/>
      <c r="AB786" s="2090"/>
      <c r="AC786" s="2091">
        <f t="shared" ref="AC786:AC795" si="50">X786*O786</f>
        <v>0</v>
      </c>
      <c r="AD786" s="2092"/>
      <c r="AE786" s="2092"/>
      <c r="AF786" s="2092"/>
      <c r="AG786" s="2093"/>
      <c r="AH786" s="2138"/>
      <c r="AI786" s="2139"/>
      <c r="AJ786" s="2139"/>
      <c r="AK786" s="2139"/>
      <c r="AL786" s="214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01"/>
      <c r="K787" s="2102"/>
      <c r="L787" s="2102"/>
      <c r="M787" s="2102"/>
      <c r="N787" s="2103"/>
      <c r="O787" s="2124"/>
      <c r="P787" s="2124"/>
      <c r="Q787" s="2124"/>
      <c r="R787" s="2124"/>
      <c r="S787" s="2124"/>
      <c r="T787" s="2084"/>
      <c r="U787" s="2085"/>
      <c r="V787" s="2085"/>
      <c r="W787" s="2086"/>
      <c r="X787" s="2088"/>
      <c r="Y787" s="2089"/>
      <c r="Z787" s="2089"/>
      <c r="AA787" s="2089"/>
      <c r="AB787" s="2090"/>
      <c r="AC787" s="2091">
        <f t="shared" si="50"/>
        <v>0</v>
      </c>
      <c r="AD787" s="2092"/>
      <c r="AE787" s="2092"/>
      <c r="AF787" s="2092"/>
      <c r="AG787" s="2093"/>
      <c r="AH787" s="2138"/>
      <c r="AI787" s="2139"/>
      <c r="AJ787" s="2139"/>
      <c r="AK787" s="2139"/>
      <c r="AL787" s="214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01"/>
      <c r="K788" s="2102"/>
      <c r="L788" s="2102"/>
      <c r="M788" s="2102"/>
      <c r="N788" s="2103"/>
      <c r="O788" s="2124"/>
      <c r="P788" s="2124"/>
      <c r="Q788" s="2124"/>
      <c r="R788" s="2124"/>
      <c r="S788" s="2124"/>
      <c r="T788" s="2084"/>
      <c r="U788" s="2085"/>
      <c r="V788" s="2085"/>
      <c r="W788" s="2086"/>
      <c r="X788" s="2088"/>
      <c r="Y788" s="2089"/>
      <c r="Z788" s="2089"/>
      <c r="AA788" s="2089"/>
      <c r="AB788" s="2090"/>
      <c r="AC788" s="2091">
        <f t="shared" si="50"/>
        <v>0</v>
      </c>
      <c r="AD788" s="2092"/>
      <c r="AE788" s="2092"/>
      <c r="AF788" s="2092"/>
      <c r="AG788" s="2093"/>
      <c r="AH788" s="2138"/>
      <c r="AI788" s="2139"/>
      <c r="AJ788" s="2139"/>
      <c r="AK788" s="2139"/>
      <c r="AL788" s="214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01"/>
      <c r="K789" s="2102"/>
      <c r="L789" s="2102"/>
      <c r="M789" s="2102"/>
      <c r="N789" s="2103"/>
      <c r="O789" s="2124"/>
      <c r="P789" s="2124"/>
      <c r="Q789" s="2124"/>
      <c r="R789" s="2124"/>
      <c r="S789" s="2124"/>
      <c r="T789" s="2084"/>
      <c r="U789" s="2085"/>
      <c r="V789" s="2085"/>
      <c r="W789" s="2086"/>
      <c r="X789" s="2088"/>
      <c r="Y789" s="2089"/>
      <c r="Z789" s="2089"/>
      <c r="AA789" s="2089"/>
      <c r="AB789" s="2090"/>
      <c r="AC789" s="2091">
        <f t="shared" si="50"/>
        <v>0</v>
      </c>
      <c r="AD789" s="2092"/>
      <c r="AE789" s="2092"/>
      <c r="AF789" s="2092"/>
      <c r="AG789" s="2093"/>
      <c r="AH789" s="2138"/>
      <c r="AI789" s="2139"/>
      <c r="AJ789" s="2139"/>
      <c r="AK789" s="2139"/>
      <c r="AL789" s="214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01"/>
      <c r="K790" s="2102"/>
      <c r="L790" s="2102"/>
      <c r="M790" s="2102"/>
      <c r="N790" s="2103"/>
      <c r="O790" s="2124"/>
      <c r="P790" s="2124"/>
      <c r="Q790" s="2124"/>
      <c r="R790" s="2124"/>
      <c r="S790" s="2124"/>
      <c r="T790" s="2084"/>
      <c r="U790" s="2085"/>
      <c r="V790" s="2085"/>
      <c r="W790" s="2086"/>
      <c r="X790" s="2088"/>
      <c r="Y790" s="2089"/>
      <c r="Z790" s="2089"/>
      <c r="AA790" s="2089"/>
      <c r="AB790" s="2090"/>
      <c r="AC790" s="2091">
        <f t="shared" si="50"/>
        <v>0</v>
      </c>
      <c r="AD790" s="2092"/>
      <c r="AE790" s="2092"/>
      <c r="AF790" s="2092"/>
      <c r="AG790" s="2093"/>
      <c r="AH790" s="2138"/>
      <c r="AI790" s="2139"/>
      <c r="AJ790" s="2139"/>
      <c r="AK790" s="2139"/>
      <c r="AL790" s="214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01"/>
      <c r="K791" s="2102"/>
      <c r="L791" s="2102"/>
      <c r="M791" s="2102"/>
      <c r="N791" s="2103"/>
      <c r="O791" s="2124"/>
      <c r="P791" s="2124"/>
      <c r="Q791" s="2124"/>
      <c r="R791" s="2124"/>
      <c r="S791" s="2124"/>
      <c r="T791" s="2084"/>
      <c r="U791" s="2085"/>
      <c r="V791" s="2085"/>
      <c r="W791" s="2086"/>
      <c r="X791" s="2088"/>
      <c r="Y791" s="2089"/>
      <c r="Z791" s="2089"/>
      <c r="AA791" s="2089"/>
      <c r="AB791" s="2090"/>
      <c r="AC791" s="2091">
        <f t="shared" si="50"/>
        <v>0</v>
      </c>
      <c r="AD791" s="2092"/>
      <c r="AE791" s="2092"/>
      <c r="AF791" s="2092"/>
      <c r="AG791" s="2093"/>
      <c r="AH791" s="2138"/>
      <c r="AI791" s="2139"/>
      <c r="AJ791" s="2139"/>
      <c r="AK791" s="2139"/>
      <c r="AL791" s="214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01"/>
      <c r="K792" s="2102"/>
      <c r="L792" s="2102"/>
      <c r="M792" s="2102"/>
      <c r="N792" s="2103"/>
      <c r="O792" s="2124"/>
      <c r="P792" s="2124"/>
      <c r="Q792" s="2124"/>
      <c r="R792" s="2124"/>
      <c r="S792" s="2124"/>
      <c r="T792" s="2084"/>
      <c r="U792" s="2085"/>
      <c r="V792" s="2085"/>
      <c r="W792" s="2086"/>
      <c r="X792" s="2088"/>
      <c r="Y792" s="2089"/>
      <c r="Z792" s="2089"/>
      <c r="AA792" s="2089"/>
      <c r="AB792" s="2090"/>
      <c r="AC792" s="2091">
        <f t="shared" si="50"/>
        <v>0</v>
      </c>
      <c r="AD792" s="2092"/>
      <c r="AE792" s="2092"/>
      <c r="AF792" s="2092"/>
      <c r="AG792" s="2093"/>
      <c r="AH792" s="2138"/>
      <c r="AI792" s="2139"/>
      <c r="AJ792" s="2139"/>
      <c r="AK792" s="2139"/>
      <c r="AL792" s="214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01"/>
      <c r="K793" s="2102"/>
      <c r="L793" s="2102"/>
      <c r="M793" s="2102"/>
      <c r="N793" s="2103"/>
      <c r="O793" s="2124"/>
      <c r="P793" s="2124"/>
      <c r="Q793" s="2124"/>
      <c r="R793" s="2124"/>
      <c r="S793" s="2124"/>
      <c r="T793" s="2084"/>
      <c r="U793" s="2085"/>
      <c r="V793" s="2085"/>
      <c r="W793" s="2086"/>
      <c r="X793" s="2088"/>
      <c r="Y793" s="2089"/>
      <c r="Z793" s="2089"/>
      <c r="AA793" s="2089"/>
      <c r="AB793" s="2090"/>
      <c r="AC793" s="2091">
        <f t="shared" si="50"/>
        <v>0</v>
      </c>
      <c r="AD793" s="2092"/>
      <c r="AE793" s="2092"/>
      <c r="AF793" s="2092"/>
      <c r="AG793" s="2093"/>
      <c r="AH793" s="2138"/>
      <c r="AI793" s="2139"/>
      <c r="AJ793" s="2139"/>
      <c r="AK793" s="2139"/>
      <c r="AL793" s="214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01"/>
      <c r="K794" s="2102"/>
      <c r="L794" s="2102"/>
      <c r="M794" s="2102"/>
      <c r="N794" s="2103"/>
      <c r="O794" s="2124"/>
      <c r="P794" s="2124"/>
      <c r="Q794" s="2124"/>
      <c r="R794" s="2124"/>
      <c r="S794" s="2124"/>
      <c r="T794" s="2084"/>
      <c r="U794" s="2085"/>
      <c r="V794" s="2085"/>
      <c r="W794" s="2086"/>
      <c r="X794" s="2088"/>
      <c r="Y794" s="2089"/>
      <c r="Z794" s="2089"/>
      <c r="AA794" s="2089"/>
      <c r="AB794" s="2090"/>
      <c r="AC794" s="2091">
        <f t="shared" si="50"/>
        <v>0</v>
      </c>
      <c r="AD794" s="2092"/>
      <c r="AE794" s="2092"/>
      <c r="AF794" s="2092"/>
      <c r="AG794" s="2093"/>
      <c r="AH794" s="2138"/>
      <c r="AI794" s="2139"/>
      <c r="AJ794" s="2139"/>
      <c r="AK794" s="2139"/>
      <c r="AL794" s="214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01"/>
      <c r="K795" s="2102"/>
      <c r="L795" s="2102"/>
      <c r="M795" s="2102"/>
      <c r="N795" s="2103"/>
      <c r="O795" s="2124"/>
      <c r="P795" s="2124"/>
      <c r="Q795" s="2124"/>
      <c r="R795" s="2124"/>
      <c r="S795" s="2124"/>
      <c r="T795" s="2084"/>
      <c r="U795" s="2085"/>
      <c r="V795" s="2085"/>
      <c r="W795" s="2086"/>
      <c r="X795" s="2088"/>
      <c r="Y795" s="2089"/>
      <c r="Z795" s="2089"/>
      <c r="AA795" s="2089"/>
      <c r="AB795" s="2090"/>
      <c r="AC795" s="2091">
        <f t="shared" si="50"/>
        <v>0</v>
      </c>
      <c r="AD795" s="2092"/>
      <c r="AE795" s="2092"/>
      <c r="AF795" s="2092"/>
      <c r="AG795" s="2093"/>
      <c r="AH795" s="2138"/>
      <c r="AI795" s="2139"/>
      <c r="AJ795" s="2139"/>
      <c r="AK795" s="2139"/>
      <c r="AL795" s="214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21" t="s">
        <v>130</v>
      </c>
      <c r="K796" s="2122"/>
      <c r="L796" s="2122"/>
      <c r="M796" s="2122"/>
      <c r="N796" s="2123"/>
      <c r="O796" s="2125">
        <f>SUM(O786:S795)</f>
        <v>0</v>
      </c>
      <c r="P796" s="2125"/>
      <c r="Q796" s="2125"/>
      <c r="R796" s="2125"/>
      <c r="S796" s="2125"/>
      <c r="X796" s="1523" t="s">
        <v>129</v>
      </c>
      <c r="Y796" s="1524"/>
      <c r="Z796" s="1524"/>
      <c r="AA796" s="1524"/>
      <c r="AB796" s="1525"/>
      <c r="AC796" s="2091">
        <f>SUM(AC786:AG795)</f>
        <v>0</v>
      </c>
      <c r="AD796" s="2092"/>
      <c r="AE796" s="2092"/>
      <c r="AF796" s="2092"/>
      <c r="AG796" s="209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18">
        <f>T753+AC776+AC796</f>
        <v>74573</v>
      </c>
      <c r="Z798" s="2218"/>
      <c r="AA798" s="2218"/>
      <c r="AB798" s="2218"/>
      <c r="AC798" s="221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18">
        <f>(T753+AC776+AC796)*12</f>
        <v>894876</v>
      </c>
      <c r="Z799" s="2218"/>
      <c r="AA799" s="2218"/>
      <c r="AB799" s="2218"/>
      <c r="AC799" s="2218"/>
      <c r="AZ799" s="58"/>
      <c r="BA799" s="51" t="s">
        <v>669</v>
      </c>
      <c r="BB799" s="51"/>
      <c r="BC799" s="51"/>
      <c r="BD799" s="51"/>
      <c r="BE799" s="51"/>
      <c r="BF799" s="51"/>
      <c r="BG799" s="51"/>
      <c r="BH799" s="51"/>
      <c r="BI799" s="51"/>
      <c r="BJ799" s="51"/>
      <c r="BK799" s="51"/>
      <c r="BL799" s="51"/>
      <c r="BM799" s="51"/>
      <c r="BN799" s="2259" t="s">
        <v>504</v>
      </c>
      <c r="BO799" s="2260"/>
      <c r="BP799" s="58"/>
      <c r="BQ799" s="58"/>
      <c r="BR799" s="58"/>
      <c r="BS799" s="51" t="s">
        <v>671</v>
      </c>
      <c r="BT799" s="51"/>
      <c r="BU799" s="51"/>
      <c r="BV799" s="51"/>
      <c r="BW799" s="51"/>
      <c r="BX799" s="51"/>
      <c r="BY799" s="51"/>
      <c r="BZ799" s="51"/>
      <c r="CA799" s="51"/>
      <c r="CB799" s="2256" t="str">
        <f>T189</f>
        <v>Monterey</v>
      </c>
      <c r="CC799" s="2257"/>
      <c r="CD799" s="2257"/>
      <c r="CE799" s="2257"/>
      <c r="CF799" s="2257"/>
      <c r="CG799" s="2257"/>
      <c r="CH799" s="22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2445</v>
      </c>
      <c r="BP802" s="54"/>
      <c r="BQ802" s="54"/>
      <c r="BR802" s="54"/>
      <c r="BS802" s="54"/>
      <c r="BT802" s="54"/>
      <c r="BV802" s="53" t="s">
        <v>2446</v>
      </c>
      <c r="CB802" s="107"/>
      <c r="CC802" s="107"/>
      <c r="CD802" s="107"/>
      <c r="CE802" s="107"/>
      <c r="CF802" s="107"/>
      <c r="CG802" s="107"/>
      <c r="CH802" s="107"/>
      <c r="CI802" s="107"/>
      <c r="CJ802" s="107"/>
      <c r="CK802" s="107"/>
      <c r="CL802" s="107"/>
      <c r="CM802" s="107"/>
      <c r="CN802" s="107"/>
      <c r="CO802" s="107"/>
      <c r="CP802" s="107"/>
      <c r="CQ802" s="107"/>
      <c r="CR802" s="1667"/>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67"/>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115">
        <v>15</v>
      </c>
      <c r="AA804" s="2116"/>
      <c r="AB804" s="2116"/>
      <c r="AC804" s="2116"/>
      <c r="AD804" s="2116"/>
      <c r="AE804" s="211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67"/>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127">
        <v>25</v>
      </c>
      <c r="AA805" s="2116"/>
      <c r="AB805" s="2116"/>
      <c r="AC805" s="2116"/>
      <c r="AD805" s="2116"/>
      <c r="AE805" s="211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67"/>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3256" t="s">
        <v>2618</v>
      </c>
      <c r="AA806" s="2220"/>
      <c r="AB806" s="2220"/>
      <c r="AC806" s="2220"/>
      <c r="AD806" s="2220"/>
      <c r="AE806" s="226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67"/>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1914">
        <f>'Subsidy Contract Calculation'!I30</f>
        <v>212964</v>
      </c>
      <c r="AA807" s="1915"/>
      <c r="AB807" s="1915"/>
      <c r="AC807" s="1915"/>
      <c r="AD807" s="1915"/>
      <c r="AE807" s="191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67"/>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667"/>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52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52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94">
        <f>66*7*12</f>
        <v>5544</v>
      </c>
      <c r="AA811" s="2095"/>
      <c r="AB811" s="2095"/>
      <c r="AC811" s="2095"/>
      <c r="AD811" s="2095"/>
      <c r="AE811" s="209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52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94"/>
      <c r="AA812" s="2095"/>
      <c r="AB812" s="2095"/>
      <c r="AC812" s="2095"/>
      <c r="AD812" s="2095"/>
      <c r="AE812" s="209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52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94"/>
      <c r="AA813" s="2095"/>
      <c r="AB813" s="2095"/>
      <c r="AC813" s="2095"/>
      <c r="AD813" s="2095"/>
      <c r="AE813" s="209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52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1" t="s">
        <v>345</v>
      </c>
      <c r="Q814" s="2262"/>
      <c r="R814" s="2262"/>
      <c r="S814" s="2262"/>
      <c r="T814" s="2262"/>
      <c r="U814" s="2262"/>
      <c r="V814" s="2262"/>
      <c r="W814" s="2262"/>
      <c r="X814" s="2262"/>
      <c r="Y814" s="2263"/>
      <c r="Z814" s="2094"/>
      <c r="AA814" s="2095"/>
      <c r="AB814" s="2095"/>
      <c r="AC814" s="2095"/>
      <c r="AD814" s="2095"/>
      <c r="AE814" s="209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52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1914">
        <f>SUM(Z811:AE814)</f>
        <v>5544</v>
      </c>
      <c r="AA815" s="1915"/>
      <c r="AB815" s="1915"/>
      <c r="AC815" s="1915"/>
      <c r="AD815" s="1915"/>
      <c r="AE815" s="191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52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1914">
        <f>Z815+Y799+Z807</f>
        <v>1113384</v>
      </c>
      <c r="AA816" s="1915"/>
      <c r="AB816" s="1915"/>
      <c r="AC816" s="1915"/>
      <c r="AD816" s="1915"/>
      <c r="AE816" s="191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52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527"/>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52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52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52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169" t="s">
        <v>131</v>
      </c>
      <c r="N821" s="2169"/>
      <c r="O821" s="2169"/>
      <c r="P821" s="2170"/>
      <c r="Q821" s="2173" t="s">
        <v>300</v>
      </c>
      <c r="R821" s="2173"/>
      <c r="S821" s="2173"/>
      <c r="T821" s="2173"/>
      <c r="U821" s="2173" t="s">
        <v>301</v>
      </c>
      <c r="V821" s="2173"/>
      <c r="W821" s="2173"/>
      <c r="X821" s="2173"/>
      <c r="Y821" s="2173" t="s">
        <v>302</v>
      </c>
      <c r="Z821" s="2173"/>
      <c r="AA821" s="2173"/>
      <c r="AB821" s="2173"/>
      <c r="AC821" s="2173" t="s">
        <v>373</v>
      </c>
      <c r="AD821" s="2173"/>
      <c r="AE821" s="2173"/>
      <c r="AF821" s="2173"/>
      <c r="AG821" s="2193" t="s">
        <v>346</v>
      </c>
      <c r="AH821" s="2193"/>
      <c r="AI821" s="2193"/>
      <c r="AJ821" s="219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52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171"/>
      <c r="N822" s="2171"/>
      <c r="O822" s="2171"/>
      <c r="P822" s="2172"/>
      <c r="Q822" s="2173"/>
      <c r="R822" s="2173"/>
      <c r="S822" s="2173"/>
      <c r="T822" s="2173"/>
      <c r="U822" s="2173"/>
      <c r="V822" s="2173"/>
      <c r="W822" s="2173"/>
      <c r="X822" s="2173"/>
      <c r="Y822" s="2173"/>
      <c r="Z822" s="2173"/>
      <c r="AA822" s="2173"/>
      <c r="AB822" s="2173"/>
      <c r="AC822" s="2173"/>
      <c r="AD822" s="2173"/>
      <c r="AE822" s="2173"/>
      <c r="AF822" s="2173"/>
      <c r="AG822" s="2193"/>
      <c r="AH822" s="2193"/>
      <c r="AI822" s="2193"/>
      <c r="AJ822" s="219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52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8" t="s">
        <v>43</v>
      </c>
      <c r="D823" s="2269"/>
      <c r="E823" s="2269"/>
      <c r="F823" s="2269"/>
      <c r="G823" s="2269"/>
      <c r="H823" s="2269"/>
      <c r="I823" s="80"/>
      <c r="J823" s="80"/>
      <c r="K823" s="80"/>
      <c r="L823" s="81"/>
      <c r="M823" s="2100"/>
      <c r="N823" s="2100"/>
      <c r="O823" s="2100"/>
      <c r="P823" s="2100"/>
      <c r="Q823" s="2100">
        <v>17</v>
      </c>
      <c r="R823" s="2100"/>
      <c r="S823" s="2100"/>
      <c r="T823" s="2100"/>
      <c r="U823" s="2100">
        <v>24</v>
      </c>
      <c r="V823" s="2100"/>
      <c r="W823" s="2100"/>
      <c r="X823" s="2100"/>
      <c r="Y823" s="2100">
        <v>31</v>
      </c>
      <c r="Z823" s="2100"/>
      <c r="AA823" s="2100"/>
      <c r="AB823" s="2100"/>
      <c r="AC823" s="2112"/>
      <c r="AD823" s="2113"/>
      <c r="AE823" s="2113"/>
      <c r="AF823" s="2114"/>
      <c r="AG823" s="2112"/>
      <c r="AH823" s="2113"/>
      <c r="AI823" s="2113"/>
      <c r="AJ823" s="211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52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63" t="s">
        <v>44</v>
      </c>
      <c r="D824" s="2164"/>
      <c r="E824" s="2164"/>
      <c r="F824" s="2164"/>
      <c r="G824" s="2164"/>
      <c r="H824" s="2164"/>
      <c r="I824" s="77"/>
      <c r="J824" s="77"/>
      <c r="K824" s="77"/>
      <c r="L824" s="78"/>
      <c r="M824" s="2100"/>
      <c r="N824" s="2100"/>
      <c r="O824" s="2100"/>
      <c r="P824" s="2100"/>
      <c r="Q824" s="2100">
        <v>15</v>
      </c>
      <c r="R824" s="2100"/>
      <c r="S824" s="2100"/>
      <c r="T824" s="2100"/>
      <c r="U824" s="2100">
        <v>20</v>
      </c>
      <c r="V824" s="2100"/>
      <c r="W824" s="2100"/>
      <c r="X824" s="2100"/>
      <c r="Y824" s="2100">
        <v>27</v>
      </c>
      <c r="Z824" s="2100"/>
      <c r="AA824" s="2100"/>
      <c r="AB824" s="2100"/>
      <c r="AC824" s="2112"/>
      <c r="AD824" s="2113"/>
      <c r="AE824" s="2113"/>
      <c r="AF824" s="2114"/>
      <c r="AG824" s="2112"/>
      <c r="AH824" s="2113"/>
      <c r="AI824" s="2113"/>
      <c r="AJ824" s="211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52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63" t="s">
        <v>45</v>
      </c>
      <c r="D825" s="2164"/>
      <c r="E825" s="2164"/>
      <c r="F825" s="2164"/>
      <c r="G825" s="2164"/>
      <c r="H825" s="2164"/>
      <c r="I825" s="96"/>
      <c r="J825" s="96"/>
      <c r="K825" s="96"/>
      <c r="L825" s="97"/>
      <c r="M825" s="2100"/>
      <c r="N825" s="2100"/>
      <c r="O825" s="2100"/>
      <c r="P825" s="2100"/>
      <c r="Q825" s="2100">
        <v>6</v>
      </c>
      <c r="R825" s="2100"/>
      <c r="S825" s="2100"/>
      <c r="T825" s="2100"/>
      <c r="U825" s="2100">
        <v>10</v>
      </c>
      <c r="V825" s="2100"/>
      <c r="W825" s="2100"/>
      <c r="X825" s="2100"/>
      <c r="Y825" s="2100">
        <v>13</v>
      </c>
      <c r="Z825" s="2100"/>
      <c r="AA825" s="2100"/>
      <c r="AB825" s="2100"/>
      <c r="AC825" s="2112"/>
      <c r="AD825" s="2113"/>
      <c r="AE825" s="2113"/>
      <c r="AF825" s="2114"/>
      <c r="AG825" s="2112"/>
      <c r="AH825" s="2113"/>
      <c r="AI825" s="2113"/>
      <c r="AJ825" s="211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52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63" t="s">
        <v>824</v>
      </c>
      <c r="D826" s="2164"/>
      <c r="E826" s="2164"/>
      <c r="F826" s="2164"/>
      <c r="G826" s="2164"/>
      <c r="H826" s="2164"/>
      <c r="I826" s="96"/>
      <c r="J826" s="96"/>
      <c r="K826" s="96"/>
      <c r="L826" s="97"/>
      <c r="M826" s="2100"/>
      <c r="N826" s="2100"/>
      <c r="O826" s="2100"/>
      <c r="P826" s="2100"/>
      <c r="Q826" s="2100"/>
      <c r="R826" s="2100"/>
      <c r="S826" s="2100"/>
      <c r="T826" s="2100"/>
      <c r="U826" s="2100"/>
      <c r="V826" s="2100"/>
      <c r="W826" s="2100"/>
      <c r="X826" s="2100"/>
      <c r="Y826" s="2100"/>
      <c r="Z826" s="2100"/>
      <c r="AA826" s="2100"/>
      <c r="AB826" s="2100"/>
      <c r="AC826" s="2112"/>
      <c r="AD826" s="2113"/>
      <c r="AE826" s="2113"/>
      <c r="AF826" s="2114"/>
      <c r="AG826" s="2112"/>
      <c r="AH826" s="2113"/>
      <c r="AI826" s="2113"/>
      <c r="AJ826" s="211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52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63" t="s">
        <v>494</v>
      </c>
      <c r="D827" s="2164"/>
      <c r="E827" s="2164"/>
      <c r="F827" s="2164"/>
      <c r="G827" s="2164"/>
      <c r="H827" s="2164"/>
      <c r="I827" s="96"/>
      <c r="J827" s="96"/>
      <c r="K827" s="96"/>
      <c r="L827" s="97"/>
      <c r="M827" s="2100"/>
      <c r="N827" s="2100"/>
      <c r="O827" s="2100"/>
      <c r="P827" s="2100"/>
      <c r="Q827" s="2100">
        <v>24</v>
      </c>
      <c r="R827" s="2100"/>
      <c r="S827" s="2100"/>
      <c r="T827" s="2100"/>
      <c r="U827" s="2100">
        <v>33</v>
      </c>
      <c r="V827" s="2100"/>
      <c r="W827" s="2100"/>
      <c r="X827" s="2100"/>
      <c r="Y827" s="2100">
        <v>43</v>
      </c>
      <c r="Z827" s="2100"/>
      <c r="AA827" s="2100"/>
      <c r="AB827" s="2100"/>
      <c r="AC827" s="2112"/>
      <c r="AD827" s="2113"/>
      <c r="AE827" s="2113"/>
      <c r="AF827" s="2114"/>
      <c r="AG827" s="2112"/>
      <c r="AH827" s="2113"/>
      <c r="AI827" s="2113"/>
      <c r="AJ827" s="211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527"/>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3" t="s">
        <v>845</v>
      </c>
      <c r="D828" s="2164"/>
      <c r="E828" s="2164"/>
      <c r="F828" s="2164"/>
      <c r="G828" s="2164"/>
      <c r="H828" s="2164"/>
      <c r="I828" s="96"/>
      <c r="J828" s="96"/>
      <c r="K828" s="96"/>
      <c r="L828" s="97"/>
      <c r="M828" s="2100"/>
      <c r="N828" s="2100"/>
      <c r="O828" s="2100"/>
      <c r="P828" s="2100"/>
      <c r="Q828" s="2100">
        <v>62</v>
      </c>
      <c r="R828" s="2100"/>
      <c r="S828" s="2100"/>
      <c r="T828" s="2100"/>
      <c r="U828" s="2100">
        <v>87</v>
      </c>
      <c r="V828" s="2100"/>
      <c r="W828" s="2100"/>
      <c r="X828" s="2100"/>
      <c r="Y828" s="2100">
        <v>129</v>
      </c>
      <c r="Z828" s="2100"/>
      <c r="AA828" s="2100"/>
      <c r="AB828" s="2100"/>
      <c r="AC828" s="2112"/>
      <c r="AD828" s="2113"/>
      <c r="AE828" s="2113"/>
      <c r="AF828" s="2114"/>
      <c r="AG828" s="2112"/>
      <c r="AH828" s="2113"/>
      <c r="AI828" s="2113"/>
      <c r="AJ828" s="211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52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165" t="s">
        <v>345</v>
      </c>
      <c r="G829" s="2166"/>
      <c r="H829" s="2166"/>
      <c r="I829" s="2166"/>
      <c r="J829" s="2166"/>
      <c r="K829" s="2166"/>
      <c r="L829" s="2167"/>
      <c r="M829" s="2100"/>
      <c r="N829" s="2100"/>
      <c r="O829" s="2100"/>
      <c r="P829" s="2100"/>
      <c r="Q829" s="2100"/>
      <c r="R829" s="2100"/>
      <c r="S829" s="2100"/>
      <c r="T829" s="2100"/>
      <c r="U829" s="2100"/>
      <c r="V829" s="2100"/>
      <c r="W829" s="2100"/>
      <c r="X829" s="2100"/>
      <c r="Y829" s="2100"/>
      <c r="Z829" s="2100"/>
      <c r="AA829" s="2100"/>
      <c r="AB829" s="2100"/>
      <c r="AC829" s="2112"/>
      <c r="AD829" s="2113"/>
      <c r="AE829" s="2113"/>
      <c r="AF829" s="2114"/>
      <c r="AG829" s="2112"/>
      <c r="AH829" s="2113"/>
      <c r="AI829" s="2113"/>
      <c r="AJ829" s="211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52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21" t="s">
        <v>129</v>
      </c>
      <c r="D830" s="2122"/>
      <c r="E830" s="2122"/>
      <c r="F830" s="2122"/>
      <c r="G830" s="2122"/>
      <c r="H830" s="2122"/>
      <c r="I830" s="2122"/>
      <c r="J830" s="2122"/>
      <c r="K830" s="2122"/>
      <c r="L830" s="2123"/>
      <c r="M830" s="2212">
        <f>SUM(M823:P829)</f>
        <v>0</v>
      </c>
      <c r="N830" s="2212"/>
      <c r="O830" s="2212"/>
      <c r="P830" s="2212"/>
      <c r="Q830" s="2212">
        <f>SUM(Q823:T829)</f>
        <v>124</v>
      </c>
      <c r="R830" s="2212"/>
      <c r="S830" s="2212"/>
      <c r="T830" s="2212"/>
      <c r="U830" s="2212">
        <f>SUM(U823:X829)</f>
        <v>174</v>
      </c>
      <c r="V830" s="2212"/>
      <c r="W830" s="2212"/>
      <c r="X830" s="2212"/>
      <c r="Y830" s="2212">
        <f>SUM(Y823:AB829)</f>
        <v>243</v>
      </c>
      <c r="Z830" s="2212"/>
      <c r="AA830" s="2212"/>
      <c r="AB830" s="2212"/>
      <c r="AC830" s="2212">
        <f>SUM(AC823:AF829)</f>
        <v>0</v>
      </c>
      <c r="AD830" s="2212"/>
      <c r="AE830" s="2212"/>
      <c r="AF830" s="2212"/>
      <c r="AG830" s="2212">
        <f>SUM(AG823:AJ829)</f>
        <v>0</v>
      </c>
      <c r="AH830" s="2212"/>
      <c r="AI830" s="2212"/>
      <c r="AJ830" s="221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52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52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52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52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527"/>
      <c r="CS834" s="61"/>
      <c r="CT834" s="61"/>
      <c r="CU834" s="61"/>
      <c r="CV834" s="61"/>
      <c r="CW834" s="61"/>
      <c r="CX834" s="61"/>
      <c r="CY834" s="61"/>
      <c r="CZ834" s="61"/>
      <c r="DA834" s="61"/>
      <c r="DB834" s="61"/>
      <c r="DC834" s="61"/>
      <c r="DD834" s="61"/>
      <c r="DE834" s="61"/>
      <c r="DF834" s="61"/>
    </row>
    <row r="835" spans="1:110" s="7" customFormat="1" ht="12.75" customHeight="1">
      <c r="A835" s="12"/>
      <c r="B835" s="12"/>
      <c r="C835" s="2104" t="s">
        <v>2463</v>
      </c>
      <c r="D835" s="2105"/>
      <c r="E835" s="2105"/>
      <c r="F835" s="2105"/>
      <c r="G835" s="2105"/>
      <c r="H835" s="2105"/>
      <c r="I835" s="2105"/>
      <c r="J835" s="2105"/>
      <c r="K835" s="2105"/>
      <c r="L835" s="2105"/>
      <c r="M835" s="2105"/>
      <c r="N835" s="2105"/>
      <c r="O835" s="2105"/>
      <c r="P835" s="2105"/>
      <c r="Q835" s="2105"/>
      <c r="R835" s="2105"/>
      <c r="S835" s="2105"/>
      <c r="T835" s="2105"/>
      <c r="U835" s="2105"/>
      <c r="V835" s="2105"/>
      <c r="W835" s="2105"/>
      <c r="X835" s="2105"/>
      <c r="Y835" s="2105"/>
      <c r="Z835" s="2105"/>
      <c r="AA835" s="2105"/>
      <c r="AB835" s="2105"/>
      <c r="AC835" s="2105"/>
      <c r="AD835" s="2105"/>
      <c r="AE835" s="2105"/>
      <c r="AF835" s="2105"/>
      <c r="AG835" s="2105"/>
      <c r="AH835" s="2105"/>
      <c r="AI835" s="2105"/>
      <c r="AJ835" s="210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527"/>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52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667"/>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667"/>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667"/>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68">
        <v>900</v>
      </c>
      <c r="X840" s="2168"/>
      <c r="Y840" s="2168"/>
      <c r="Z840" s="2168"/>
      <c r="AA840" s="2168"/>
      <c r="AB840" s="2168"/>
      <c r="AC840" s="216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667"/>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68">
        <v>1200</v>
      </c>
      <c r="X841" s="2168"/>
      <c r="Y841" s="2168"/>
      <c r="Z841" s="2168"/>
      <c r="AA841" s="2168"/>
      <c r="AB841" s="2168"/>
      <c r="AC841" s="216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667"/>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68">
        <v>10200</v>
      </c>
      <c r="X842" s="2168"/>
      <c r="Y842" s="2168"/>
      <c r="Z842" s="2168"/>
      <c r="AA842" s="2168"/>
      <c r="AB842" s="2168"/>
      <c r="AC842" s="216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667"/>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68">
        <f>12*66*12</f>
        <v>9504</v>
      </c>
      <c r="X843" s="2168"/>
      <c r="Y843" s="2168"/>
      <c r="Z843" s="2168"/>
      <c r="AA843" s="2168"/>
      <c r="AB843" s="2168"/>
      <c r="AC843" s="216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667"/>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936" t="s">
        <v>2464</v>
      </c>
      <c r="N844" s="1937"/>
      <c r="O844" s="1937"/>
      <c r="P844" s="1937"/>
      <c r="Q844" s="1937"/>
      <c r="R844" s="1937"/>
      <c r="S844" s="1937"/>
      <c r="T844" s="1937"/>
      <c r="U844" s="1937"/>
      <c r="V844" s="1938"/>
      <c r="W844" s="2168">
        <f>66*500-SUM(W840:AC843)</f>
        <v>11196</v>
      </c>
      <c r="X844" s="2168"/>
      <c r="Y844" s="2168"/>
      <c r="Z844" s="2168"/>
      <c r="AA844" s="2168"/>
      <c r="AB844" s="2168"/>
      <c r="AC844" s="216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198">
        <f>ROUNDDOWN(BC932*2,2)</f>
        <v>0</v>
      </c>
      <c r="BJ844" s="2198"/>
      <c r="BK844" s="2198"/>
      <c r="BL844" s="2198"/>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667"/>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1914">
        <f>SUM(W840:AC844)</f>
        <v>33000</v>
      </c>
      <c r="X845" s="1915"/>
      <c r="Y845" s="1915"/>
      <c r="Z845" s="1915"/>
      <c r="AA845" s="1915"/>
      <c r="AB845" s="1915"/>
      <c r="AC845" s="191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667"/>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667"/>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21" t="s">
        <v>357</v>
      </c>
      <c r="K847" s="2122"/>
      <c r="L847" s="2122"/>
      <c r="M847" s="2122"/>
      <c r="N847" s="2122"/>
      <c r="O847" s="2122"/>
      <c r="P847" s="2122"/>
      <c r="Q847" s="2122"/>
      <c r="R847" s="2122"/>
      <c r="S847" s="2122"/>
      <c r="T847" s="2122"/>
      <c r="U847" s="2122"/>
      <c r="V847" s="2123"/>
      <c r="W847" s="2094">
        <f>0.06*Z816*0.95</f>
        <v>63462.887999999992</v>
      </c>
      <c r="X847" s="2095"/>
      <c r="Y847" s="2095"/>
      <c r="Z847" s="2095"/>
      <c r="AA847" s="2095"/>
      <c r="AB847" s="2095"/>
      <c r="AC847" s="2096"/>
      <c r="AD847" s="843"/>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667"/>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843"/>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667"/>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13"/>
      <c r="X849" s="2313"/>
      <c r="Y849" s="2313"/>
      <c r="Z849" s="2313"/>
      <c r="AA849" s="2313"/>
      <c r="AB849" s="2313"/>
      <c r="AC849" s="231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667"/>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13"/>
      <c r="X850" s="2313"/>
      <c r="Y850" s="2313"/>
      <c r="Z850" s="2313"/>
      <c r="AA850" s="2313"/>
      <c r="AB850" s="2313"/>
      <c r="AC850" s="231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667"/>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194">
        <v>4800</v>
      </c>
      <c r="X851" s="2194"/>
      <c r="Y851" s="2194"/>
      <c r="Z851" s="2194"/>
      <c r="AA851" s="2194"/>
      <c r="AB851" s="2194"/>
      <c r="AC851" s="219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16"/>
      <c r="BH851" s="2216"/>
      <c r="BI851" s="2216"/>
      <c r="BJ851" s="2216"/>
      <c r="BK851" s="2216"/>
      <c r="BL851" s="2216"/>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667"/>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194">
        <f>66*40*12</f>
        <v>31680</v>
      </c>
      <c r="X852" s="2194"/>
      <c r="Y852" s="2194"/>
      <c r="Z852" s="2194"/>
      <c r="AA852" s="2194"/>
      <c r="AB852" s="2194"/>
      <c r="AC852" s="219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667"/>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6">
        <f>SUM(W849:AC852)</f>
        <v>36480</v>
      </c>
      <c r="X853" s="2306"/>
      <c r="Y853" s="2306"/>
      <c r="Z853" s="2306"/>
      <c r="AA853" s="2306"/>
      <c r="AB853" s="2306"/>
      <c r="AC853" s="230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667"/>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9">
        <f>SUM(AZ821:AZ849)</f>
        <v>0</v>
      </c>
      <c r="BA854" s="2319"/>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667"/>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270">
        <v>41828</v>
      </c>
      <c r="X855" s="2271"/>
      <c r="Y855" s="2271"/>
      <c r="Z855" s="2271"/>
      <c r="AA855" s="2271"/>
      <c r="AB855" s="2271"/>
      <c r="AC855" s="2272"/>
      <c r="AD855" s="846"/>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667"/>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2027</v>
      </c>
      <c r="K856" s="77"/>
      <c r="L856" s="77"/>
      <c r="M856" s="77"/>
      <c r="N856" s="77"/>
      <c r="O856" s="77"/>
      <c r="P856" s="77"/>
      <c r="Q856" s="77"/>
      <c r="R856" s="77"/>
      <c r="S856" s="77"/>
      <c r="T856" s="2310">
        <v>1</v>
      </c>
      <c r="U856" s="2311"/>
      <c r="V856" s="2312"/>
      <c r="W856" s="1413"/>
      <c r="X856" s="1414"/>
      <c r="Y856" s="1414"/>
      <c r="Z856" s="1414"/>
      <c r="AA856" s="1414"/>
      <c r="AB856" s="1414"/>
      <c r="AC856" s="1415"/>
      <c r="AD856" s="846"/>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667"/>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270">
        <f>645*65*1.1</f>
        <v>46117.500000000007</v>
      </c>
      <c r="X857" s="2271"/>
      <c r="Y857" s="2271"/>
      <c r="Z857" s="2271"/>
      <c r="AA857" s="2271"/>
      <c r="AB857" s="2271"/>
      <c r="AC857" s="2272"/>
      <c r="AD857" s="843"/>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527"/>
      <c r="CS857" s="61"/>
      <c r="CT857" s="61"/>
      <c r="CU857" s="61"/>
      <c r="CV857" s="61"/>
      <c r="CW857" s="61"/>
      <c r="CX857" s="61"/>
      <c r="CY857" s="61"/>
      <c r="CZ857" s="61"/>
      <c r="DA857" s="61"/>
      <c r="DB857" s="61"/>
      <c r="DC857" s="61"/>
      <c r="DD857" s="61"/>
      <c r="DE857" s="61"/>
      <c r="DF857" s="61"/>
    </row>
    <row r="858" spans="1:110" s="720" customFormat="1" ht="12.75" customHeight="1">
      <c r="C858" s="50"/>
      <c r="J858" s="185" t="s">
        <v>2028</v>
      </c>
      <c r="K858" s="77"/>
      <c r="L858" s="77"/>
      <c r="M858" s="77"/>
      <c r="N858" s="77"/>
      <c r="O858" s="77"/>
      <c r="P858" s="77"/>
      <c r="Q858" s="77"/>
      <c r="R858" s="77"/>
      <c r="S858" s="77"/>
      <c r="T858" s="2310">
        <v>1</v>
      </c>
      <c r="U858" s="2311"/>
      <c r="V858" s="2312"/>
      <c r="W858" s="1413"/>
      <c r="X858" s="1414"/>
      <c r="Y858" s="1414"/>
      <c r="Z858" s="1414"/>
      <c r="AA858" s="1414"/>
      <c r="AB858" s="1414"/>
      <c r="AC858" s="1415"/>
      <c r="AD858" s="843"/>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52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936" t="s">
        <v>2465</v>
      </c>
      <c r="N859" s="2166"/>
      <c r="O859" s="2166"/>
      <c r="P859" s="2166"/>
      <c r="Q859" s="2166"/>
      <c r="R859" s="2166"/>
      <c r="S859" s="2166"/>
      <c r="T859" s="2166"/>
      <c r="U859" s="2166"/>
      <c r="V859" s="2167"/>
      <c r="W859" s="2270"/>
      <c r="X859" s="2271"/>
      <c r="Y859" s="2271"/>
      <c r="Z859" s="2271"/>
      <c r="AA859" s="2271"/>
      <c r="AB859" s="2271"/>
      <c r="AC859" s="2272"/>
      <c r="AD859" s="846"/>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527"/>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195">
        <f>SUM(W855:AC859)</f>
        <v>87945.5</v>
      </c>
      <c r="X860" s="2196"/>
      <c r="Y860" s="2196"/>
      <c r="Z860" s="2196"/>
      <c r="AA860" s="2196"/>
      <c r="AB860" s="2196"/>
      <c r="AC860" s="2197"/>
      <c r="AD860" s="843"/>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52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02">
        <f>375*66</f>
        <v>24750</v>
      </c>
      <c r="X861" s="2303"/>
      <c r="Y861" s="2303"/>
      <c r="Z861" s="2303"/>
      <c r="AA861" s="2303"/>
      <c r="AB861" s="2303"/>
      <c r="AC861" s="2304"/>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527"/>
      <c r="CS861" s="61"/>
      <c r="CT861" s="61"/>
      <c r="CU861" s="61"/>
      <c r="CV861" s="61"/>
      <c r="CW861" s="61"/>
      <c r="CX861" s="61"/>
      <c r="CY861" s="61"/>
      <c r="CZ861" s="61"/>
      <c r="DA861" s="61"/>
      <c r="DB861" s="61"/>
      <c r="DC861" s="61"/>
      <c r="DD861" s="61"/>
      <c r="DE861" s="61"/>
      <c r="DF861" s="61"/>
    </row>
    <row r="862" spans="1:110" ht="12.75" customHeight="1">
      <c r="J862" s="841"/>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527"/>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68">
        <v>2400</v>
      </c>
      <c r="X863" s="2168"/>
      <c r="Y863" s="2168"/>
      <c r="Z863" s="2168"/>
      <c r="AA863" s="2168"/>
      <c r="AB863" s="2168"/>
      <c r="AC863" s="2168"/>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527"/>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68">
        <v>18000</v>
      </c>
      <c r="X864" s="2168"/>
      <c r="Y864" s="2168"/>
      <c r="Z864" s="2168"/>
      <c r="AA864" s="2168"/>
      <c r="AB864" s="2168"/>
      <c r="AC864" s="2168"/>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527"/>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68">
        <f>420*66*2</f>
        <v>55440</v>
      </c>
      <c r="X865" s="2168"/>
      <c r="Y865" s="2168"/>
      <c r="Z865" s="2168"/>
      <c r="AA865" s="2168"/>
      <c r="AB865" s="2168"/>
      <c r="AC865" s="2168"/>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527"/>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68"/>
      <c r="X866" s="2168"/>
      <c r="Y866" s="2168"/>
      <c r="Z866" s="2168"/>
      <c r="AA866" s="2168"/>
      <c r="AB866" s="2168"/>
      <c r="AC866" s="2168"/>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527"/>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68">
        <v>18000</v>
      </c>
      <c r="X867" s="2168"/>
      <c r="Y867" s="2168"/>
      <c r="Z867" s="2168"/>
      <c r="AA867" s="2168"/>
      <c r="AB867" s="2168"/>
      <c r="AC867" s="216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27"/>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68"/>
      <c r="X868" s="2168"/>
      <c r="Y868" s="2168"/>
      <c r="Z868" s="2168"/>
      <c r="AA868" s="2168"/>
      <c r="AB868" s="2168"/>
      <c r="AC868" s="216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2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1936" t="s">
        <v>2466</v>
      </c>
      <c r="N869" s="1937"/>
      <c r="O869" s="1937"/>
      <c r="P869" s="1937"/>
      <c r="Q869" s="1937"/>
      <c r="R869" s="1937"/>
      <c r="S869" s="1937"/>
      <c r="T869" s="1937"/>
      <c r="U869" s="1937"/>
      <c r="V869" s="1938"/>
      <c r="W869" s="2168">
        <v>12000</v>
      </c>
      <c r="X869" s="2168"/>
      <c r="Y869" s="2168"/>
      <c r="Z869" s="2168"/>
      <c r="AA869" s="2168"/>
      <c r="AB869" s="2168"/>
      <c r="AC869" s="2168"/>
      <c r="AD869" s="843"/>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2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218">
        <f>SUM(W863:AC869)</f>
        <v>105840</v>
      </c>
      <c r="X870" s="2218"/>
      <c r="Y870" s="2218"/>
      <c r="Z870" s="2218"/>
      <c r="AA870" s="2218"/>
      <c r="AB870" s="2218"/>
      <c r="AC870" s="221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2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27"/>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1936" t="s">
        <v>2467</v>
      </c>
      <c r="N872" s="2166"/>
      <c r="O872" s="2166"/>
      <c r="P872" s="2166"/>
      <c r="Q872" s="2166"/>
      <c r="R872" s="2166"/>
      <c r="S872" s="2166"/>
      <c r="T872" s="2166"/>
      <c r="U872" s="2166"/>
      <c r="V872" s="2167"/>
      <c r="W872" s="2094">
        <v>800</v>
      </c>
      <c r="X872" s="2095"/>
      <c r="Y872" s="2095"/>
      <c r="Z872" s="2095"/>
      <c r="AA872" s="2095"/>
      <c r="AB872" s="2095"/>
      <c r="AC872" s="2096"/>
      <c r="AD872" s="843"/>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27"/>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1936" t="s">
        <v>2468</v>
      </c>
      <c r="N873" s="2166"/>
      <c r="O873" s="2166"/>
      <c r="P873" s="2166"/>
      <c r="Q873" s="2166"/>
      <c r="R873" s="2166"/>
      <c r="S873" s="2166"/>
      <c r="T873" s="2166"/>
      <c r="U873" s="2166"/>
      <c r="V873" s="2167"/>
      <c r="W873" s="2094">
        <v>3600</v>
      </c>
      <c r="X873" s="2095"/>
      <c r="Y873" s="2095"/>
      <c r="Z873" s="2095"/>
      <c r="AA873" s="2095"/>
      <c r="AB873" s="2095"/>
      <c r="AC873" s="2096"/>
      <c r="AD873" s="843"/>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2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65" t="s">
        <v>345</v>
      </c>
      <c r="N874" s="2166"/>
      <c r="O874" s="2166"/>
      <c r="P874" s="2166"/>
      <c r="Q874" s="2166"/>
      <c r="R874" s="2166"/>
      <c r="S874" s="2166"/>
      <c r="T874" s="2166"/>
      <c r="U874" s="2166"/>
      <c r="V874" s="2167"/>
      <c r="W874" s="2094"/>
      <c r="X874" s="2095"/>
      <c r="Y874" s="2095"/>
      <c r="Z874" s="2095"/>
      <c r="AA874" s="2095"/>
      <c r="AB874" s="2095"/>
      <c r="AC874" s="209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2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65" t="s">
        <v>345</v>
      </c>
      <c r="N875" s="2166"/>
      <c r="O875" s="2166"/>
      <c r="P875" s="2166"/>
      <c r="Q875" s="2166"/>
      <c r="R875" s="2166"/>
      <c r="S875" s="2166"/>
      <c r="T875" s="2166"/>
      <c r="U875" s="2166"/>
      <c r="V875" s="2167"/>
      <c r="W875" s="2094"/>
      <c r="X875" s="2095"/>
      <c r="Y875" s="2095"/>
      <c r="Z875" s="2095"/>
      <c r="AA875" s="2095"/>
      <c r="AB875" s="2095"/>
      <c r="AC875" s="209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2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65" t="s">
        <v>345</v>
      </c>
      <c r="N876" s="2166"/>
      <c r="O876" s="2166"/>
      <c r="P876" s="2166"/>
      <c r="Q876" s="2166"/>
      <c r="R876" s="2166"/>
      <c r="S876" s="2166"/>
      <c r="T876" s="2166"/>
      <c r="U876" s="2166"/>
      <c r="V876" s="2167"/>
      <c r="W876" s="2094"/>
      <c r="X876" s="2095"/>
      <c r="Y876" s="2095"/>
      <c r="Z876" s="2095"/>
      <c r="AA876" s="2095"/>
      <c r="AB876" s="2095"/>
      <c r="AC876" s="209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2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1914">
        <f>SUM(W872:AC876)</f>
        <v>4400</v>
      </c>
      <c r="X877" s="1915"/>
      <c r="Y877" s="1915"/>
      <c r="Z877" s="1915"/>
      <c r="AA877" s="1915"/>
      <c r="AB877" s="1915"/>
      <c r="AC877" s="191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27"/>
      <c r="CS877" s="61"/>
      <c r="CT877" s="61"/>
      <c r="CU877" s="61"/>
      <c r="CV877" s="61"/>
      <c r="CW877" s="61"/>
      <c r="CX877" s="61"/>
      <c r="CY877" s="61"/>
      <c r="CZ877" s="61"/>
      <c r="DA877" s="61"/>
      <c r="DB877" s="61"/>
      <c r="DC877" s="61"/>
      <c r="DD877" s="61"/>
      <c r="DE877" s="61"/>
      <c r="DF877" s="61"/>
    </row>
    <row r="878" spans="3:110" ht="12.75" customHeight="1">
      <c r="E878" s="837"/>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27"/>
      <c r="CS878" s="61"/>
      <c r="CT878" s="61"/>
      <c r="CU878" s="61"/>
      <c r="CV878" s="61"/>
      <c r="CW878" s="61"/>
      <c r="CX878" s="61"/>
      <c r="CY878" s="61"/>
      <c r="CZ878" s="61"/>
      <c r="DA878" s="61"/>
      <c r="DB878" s="61"/>
      <c r="DC878" s="61"/>
      <c r="DD878" s="61"/>
      <c r="DE878" s="61"/>
      <c r="DF878" s="61"/>
    </row>
    <row r="879" spans="3:110" ht="12.75" customHeight="1">
      <c r="C879" s="50" t="s">
        <v>183</v>
      </c>
      <c r="I879" s="843"/>
      <c r="J879" s="844"/>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27"/>
      <c r="CS879" s="61"/>
      <c r="CT879" s="61"/>
      <c r="CU879" s="61"/>
      <c r="CV879" s="61"/>
      <c r="CW879" s="61"/>
      <c r="CX879" s="61"/>
      <c r="CY879" s="61"/>
      <c r="CZ879" s="61"/>
      <c r="DA879" s="61"/>
      <c r="DB879" s="61"/>
      <c r="DC879" s="61"/>
      <c r="DD879" s="61"/>
      <c r="DE879" s="61"/>
      <c r="DF879" s="61"/>
    </row>
    <row r="880" spans="3:110" ht="12.75" customHeight="1">
      <c r="E880" s="837"/>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2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38" t="s">
        <v>285</v>
      </c>
      <c r="AC881" s="1915">
        <f>W845+W853+W860+W861+W870+W877+W847</f>
        <v>355878.38799999998</v>
      </c>
      <c r="AD881" s="1915"/>
      <c r="AE881" s="1915"/>
      <c r="AF881" s="1915"/>
      <c r="AG881" s="1915"/>
      <c r="AH881" s="191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2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38" t="s">
        <v>546</v>
      </c>
      <c r="AC882" s="2308">
        <f>O796+O776+G753</f>
        <v>66</v>
      </c>
      <c r="AD882" s="2308"/>
      <c r="AE882" s="2308"/>
      <c r="AF882" s="2308"/>
      <c r="AG882" s="2308"/>
      <c r="AH882" s="230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27"/>
      <c r="CS882" s="61"/>
      <c r="CT882" s="61"/>
      <c r="CU882" s="61"/>
      <c r="CV882" s="61"/>
      <c r="CW882" s="61"/>
      <c r="CX882" s="61"/>
      <c r="CY882" s="61"/>
      <c r="CZ882" s="61"/>
      <c r="DA882" s="61"/>
      <c r="DB882" s="61"/>
      <c r="DC882" s="61"/>
      <c r="DD882" s="61"/>
      <c r="DE882" s="61"/>
      <c r="DF882" s="61"/>
    </row>
    <row r="883" spans="1:110" ht="12.75" customHeight="1">
      <c r="C883" s="71"/>
      <c r="D883" s="72"/>
      <c r="E883" s="2107" t="s">
        <v>33</v>
      </c>
      <c r="F883" s="2107"/>
      <c r="G883" s="2107"/>
      <c r="H883" s="2107"/>
      <c r="I883" s="2107"/>
      <c r="J883" s="2107"/>
      <c r="K883" s="2107"/>
      <c r="L883" s="2107"/>
      <c r="M883" s="2107"/>
      <c r="N883" s="2107"/>
      <c r="O883" s="2107"/>
      <c r="P883" s="2107"/>
      <c r="Q883" s="2107"/>
      <c r="R883" s="2107"/>
      <c r="S883" s="2107"/>
      <c r="T883" s="2107"/>
      <c r="U883" s="2107"/>
      <c r="V883" s="2107"/>
      <c r="W883" s="2107"/>
      <c r="X883" s="2107"/>
      <c r="Y883" s="2107"/>
      <c r="Z883" s="2107"/>
      <c r="AA883" s="2107"/>
      <c r="AB883" s="2108"/>
      <c r="AC883" s="2218">
        <f>IF(ISERROR((ROUNDDOWN(AC881/AC882,0))),0,(ROUNDDOWN(AC881/AC882,0)))</f>
        <v>5392</v>
      </c>
      <c r="AD883" s="2218"/>
      <c r="AE883" s="2218"/>
      <c r="AF883" s="2218"/>
      <c r="AG883" s="2218"/>
      <c r="AH883" s="221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2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10" t="s">
        <v>823</v>
      </c>
      <c r="AC884" s="2094">
        <f>'Sources and Uses Budget'!C75</f>
        <v>545840</v>
      </c>
      <c r="AD884" s="2095"/>
      <c r="AE884" s="2095"/>
      <c r="AF884" s="2095"/>
      <c r="AG884" s="2095"/>
      <c r="AH884" s="209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2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10" t="s">
        <v>1359</v>
      </c>
      <c r="AC885" s="2094">
        <f>'[9]main spreadsheet'!$F$68</f>
        <v>27720</v>
      </c>
      <c r="AD885" s="2095"/>
      <c r="AE885" s="2095"/>
      <c r="AF885" s="2095"/>
      <c r="AG885" s="2095"/>
      <c r="AH885" s="209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2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10" t="s">
        <v>545</v>
      </c>
      <c r="AC886" s="2094">
        <f>'[9]main spreadsheet'!$F$66</f>
        <v>0</v>
      </c>
      <c r="AD886" s="2095"/>
      <c r="AE886" s="2095"/>
      <c r="AF886" s="2095"/>
      <c r="AG886" s="2095"/>
      <c r="AH886" s="209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2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10" t="s">
        <v>84</v>
      </c>
      <c r="AC887" s="2094">
        <f>'[9]main spreadsheet'!$I$45</f>
        <v>33000</v>
      </c>
      <c r="AD887" s="2095"/>
      <c r="AE887" s="2095"/>
      <c r="AF887" s="2095"/>
      <c r="AG887" s="2095"/>
      <c r="AH887" s="209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27"/>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33" t="s">
        <v>2174</v>
      </c>
      <c r="AC888" s="2112">
        <f>'[9]main spreadsheet'!$F$39+'[9]main spreadsheet'!$F$40</f>
        <v>28079.920600000001</v>
      </c>
      <c r="AD888" s="2113"/>
      <c r="AE888" s="2113"/>
      <c r="AF888" s="2113"/>
      <c r="AG888" s="2113"/>
      <c r="AH888" s="211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27"/>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10" t="s">
        <v>85</v>
      </c>
      <c r="AC889" s="2095">
        <v>2400</v>
      </c>
      <c r="AD889" s="2095"/>
      <c r="AE889" s="2095"/>
      <c r="AF889" s="2095"/>
      <c r="AG889" s="2095"/>
      <c r="AH889" s="2096"/>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2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10" t="s">
        <v>2029</v>
      </c>
      <c r="AC890" s="2095"/>
      <c r="AD890" s="2095"/>
      <c r="AE890" s="2095"/>
      <c r="AF890" s="2095"/>
      <c r="AG890" s="2095"/>
      <c r="AH890" s="209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27"/>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437" t="s">
        <v>1039</v>
      </c>
      <c r="D891" s="2438"/>
      <c r="E891" s="2438"/>
      <c r="F891" s="2438"/>
      <c r="G891" s="2438"/>
      <c r="H891" s="2438"/>
      <c r="I891" s="2438"/>
      <c r="J891" s="2438"/>
      <c r="K891" s="2438"/>
      <c r="L891" s="2438"/>
      <c r="M891" s="2438"/>
      <c r="N891" s="2438"/>
      <c r="O891" s="2438"/>
      <c r="P891" s="2438"/>
      <c r="Q891" s="2438"/>
      <c r="R891" s="2438"/>
      <c r="S891" s="2438"/>
      <c r="T891" s="2438"/>
      <c r="U891" s="2438"/>
      <c r="V891" s="2438"/>
      <c r="W891" s="2438"/>
      <c r="X891" s="2438"/>
      <c r="Y891" s="2438"/>
      <c r="Z891" s="2438"/>
      <c r="AA891" s="2438"/>
      <c r="AB891" s="2439"/>
      <c r="AC891" s="2168"/>
      <c r="AD891" s="2168"/>
      <c r="AE891" s="2168"/>
      <c r="AF891" s="2168"/>
      <c r="AG891" s="2168"/>
      <c r="AH891" s="216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27"/>
      <c r="CS891" s="61"/>
      <c r="CT891" s="61"/>
      <c r="CU891" s="61"/>
      <c r="CV891" s="61"/>
      <c r="CW891" s="61"/>
      <c r="CX891" s="61"/>
      <c r="CY891" s="61"/>
      <c r="CZ891" s="61"/>
      <c r="DA891" s="61"/>
      <c r="DB891" s="61"/>
      <c r="DC891" s="61"/>
      <c r="DD891" s="61"/>
      <c r="DE891" s="61"/>
      <c r="DF891" s="61"/>
    </row>
    <row r="892" spans="1:110" ht="12.75" customHeight="1">
      <c r="C892" s="2437" t="s">
        <v>1039</v>
      </c>
      <c r="D892" s="2438"/>
      <c r="E892" s="2438"/>
      <c r="F892" s="2438"/>
      <c r="G892" s="2438"/>
      <c r="H892" s="2438"/>
      <c r="I892" s="2438"/>
      <c r="J892" s="2438"/>
      <c r="K892" s="2438"/>
      <c r="L892" s="2438"/>
      <c r="M892" s="2438"/>
      <c r="N892" s="2438"/>
      <c r="O892" s="2438"/>
      <c r="P892" s="2438"/>
      <c r="Q892" s="2438"/>
      <c r="R892" s="2438"/>
      <c r="S892" s="2438"/>
      <c r="T892" s="2438"/>
      <c r="U892" s="2438"/>
      <c r="V892" s="2438"/>
      <c r="W892" s="2438"/>
      <c r="X892" s="2438"/>
      <c r="Y892" s="2438"/>
      <c r="Z892" s="2438"/>
      <c r="AA892" s="2438"/>
      <c r="AB892" s="2439"/>
      <c r="AC892" s="2168"/>
      <c r="AD892" s="2168"/>
      <c r="AE892" s="2168"/>
      <c r="AF892" s="2168"/>
      <c r="AG892" s="2168"/>
      <c r="AH892" s="216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2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841"/>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27"/>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2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843"/>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27"/>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94"/>
      <c r="AA896" s="2095"/>
      <c r="AB896" s="2095"/>
      <c r="AC896" s="2095"/>
      <c r="AD896" s="2095"/>
      <c r="AE896" s="2096"/>
      <c r="AF896" s="843"/>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27"/>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94"/>
      <c r="AA897" s="2095"/>
      <c r="AB897" s="2095"/>
      <c r="AC897" s="2095"/>
      <c r="AD897" s="2095"/>
      <c r="AE897" s="209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27"/>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94"/>
      <c r="AA898" s="2095"/>
      <c r="AB898" s="2095"/>
      <c r="AC898" s="2095"/>
      <c r="AD898" s="2095"/>
      <c r="AE898" s="209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2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1914">
        <f>Z896-(Z897+Z898)</f>
        <v>0</v>
      </c>
      <c r="AA899" s="1915"/>
      <c r="AB899" s="1915"/>
      <c r="AC899" s="1915"/>
      <c r="AD899" s="1915"/>
      <c r="AE899" s="1916"/>
      <c r="AZ899" s="61"/>
      <c r="BA899" s="25"/>
      <c r="BB899" s="127"/>
      <c r="BC899" s="127"/>
      <c r="BD899" s="1209"/>
      <c r="BE899" s="1209"/>
      <c r="BF899" s="1209"/>
      <c r="BG899" s="152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27"/>
      <c r="CS899" s="61"/>
      <c r="CT899" s="61"/>
      <c r="CU899" s="61"/>
      <c r="CV899" s="61"/>
      <c r="CW899" s="61"/>
      <c r="CX899" s="61"/>
      <c r="CY899" s="61"/>
      <c r="CZ899" s="61"/>
      <c r="DA899" s="61"/>
      <c r="DB899" s="61"/>
      <c r="DC899" s="61"/>
      <c r="DD899" s="61"/>
      <c r="DE899" s="61"/>
      <c r="DF899" s="61"/>
    </row>
    <row r="900" spans="1:110" ht="12.75" customHeight="1">
      <c r="A900" s="39"/>
      <c r="C900" s="837"/>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09"/>
      <c r="BE900" s="1209"/>
      <c r="BF900" s="1209"/>
      <c r="BG900" s="152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27"/>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28"/>
      <c r="BD901" s="2283"/>
      <c r="BE901" s="2283"/>
      <c r="BF901" s="1209"/>
      <c r="BG901" s="152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27"/>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28"/>
      <c r="BD902" s="2305"/>
      <c r="BE902" s="2305"/>
      <c r="BF902" s="1209"/>
      <c r="BG902" s="152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27"/>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28"/>
      <c r="BD903" s="2199"/>
      <c r="BE903" s="2199"/>
      <c r="BF903" s="1209"/>
      <c r="BG903" s="152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27"/>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28"/>
      <c r="BD904" s="2199"/>
      <c r="BE904" s="2199"/>
      <c r="BF904" s="1209"/>
      <c r="BG904" s="152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2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28"/>
      <c r="BD905" s="2199"/>
      <c r="BE905" s="2199"/>
      <c r="BF905" s="1209"/>
      <c r="BG905" s="152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2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28"/>
      <c r="BD906" s="2283"/>
      <c r="BE906" s="2199"/>
      <c r="BF906" s="1209"/>
      <c r="BG906" s="152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27"/>
      <c r="CS906" s="61"/>
      <c r="CT906" s="61"/>
      <c r="CU906" s="61"/>
      <c r="CV906" s="61"/>
      <c r="CW906" s="61"/>
      <c r="CX906" s="61"/>
      <c r="CY906" s="61"/>
      <c r="CZ906" s="61"/>
      <c r="DA906" s="61"/>
      <c r="DB906" s="61"/>
      <c r="DC906" s="61"/>
      <c r="DD906" s="61"/>
      <c r="DE906" s="61"/>
      <c r="DF906" s="61"/>
    </row>
    <row r="907" spans="1:110" ht="12.75" customHeight="1">
      <c r="A907" s="2293" t="s">
        <v>101</v>
      </c>
      <c r="B907" s="2293"/>
      <c r="C907" s="2293"/>
      <c r="D907" s="2293"/>
      <c r="E907" s="2293"/>
      <c r="F907" s="2293"/>
      <c r="G907" s="2293"/>
      <c r="H907" s="2293"/>
      <c r="I907" s="2293"/>
      <c r="J907" s="2293"/>
      <c r="K907" s="2293"/>
      <c r="L907" s="2293"/>
      <c r="M907" s="2293"/>
      <c r="N907" s="2293"/>
      <c r="O907" s="2293"/>
      <c r="P907" s="2293"/>
      <c r="Q907" s="2293"/>
      <c r="R907" s="2293"/>
      <c r="S907" s="2293"/>
      <c r="T907" s="2293"/>
      <c r="U907" s="2293"/>
      <c r="V907" s="2293"/>
      <c r="W907" s="2293"/>
      <c r="X907" s="2293"/>
      <c r="Y907" s="2293"/>
      <c r="Z907" s="2293"/>
      <c r="AA907" s="2293"/>
      <c r="AB907" s="2293"/>
      <c r="AC907" s="2293"/>
      <c r="AD907" s="2293"/>
      <c r="AE907" s="2293"/>
      <c r="AF907" s="2293"/>
      <c r="AG907" s="2293"/>
      <c r="AH907" s="2293"/>
      <c r="AI907" s="2293"/>
      <c r="AJ907" s="2293"/>
      <c r="AK907" s="2293"/>
      <c r="AL907" s="2293"/>
      <c r="AM907" s="144"/>
      <c r="AN907" s="144"/>
      <c r="AO907" s="144"/>
      <c r="AP907" s="144"/>
      <c r="AQ907" s="144"/>
      <c r="AR907" s="144"/>
      <c r="AS907" s="144"/>
      <c r="AT907" s="144"/>
      <c r="AU907" s="144"/>
      <c r="AV907" s="144"/>
      <c r="AW907" s="144"/>
      <c r="AX907" s="144"/>
      <c r="AY907" s="144"/>
      <c r="AZ907" s="61"/>
      <c r="BA907" s="25"/>
      <c r="BB907" s="127"/>
      <c r="BC907" s="1528"/>
      <c r="BD907" s="2307"/>
      <c r="BE907" s="2307"/>
      <c r="BF907" s="2307"/>
      <c r="BG907" s="152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27"/>
      <c r="CS907" s="61"/>
      <c r="CT907" s="61"/>
      <c r="CU907" s="61"/>
      <c r="CV907" s="61"/>
      <c r="CW907" s="61"/>
      <c r="CX907" s="61"/>
      <c r="CY907" s="61"/>
      <c r="CZ907" s="61"/>
      <c r="DA907" s="61"/>
      <c r="DB907" s="61"/>
      <c r="DC907" s="61"/>
      <c r="DD907" s="61"/>
      <c r="DE907" s="61"/>
      <c r="DF907" s="61"/>
    </row>
    <row r="908" spans="1:110" ht="12.75" customHeight="1" thickBot="1">
      <c r="A908" s="2294"/>
      <c r="B908" s="2294"/>
      <c r="C908" s="2294"/>
      <c r="D908" s="2294"/>
      <c r="E908" s="2294"/>
      <c r="F908" s="2294"/>
      <c r="G908" s="2294"/>
      <c r="H908" s="2294"/>
      <c r="I908" s="2294"/>
      <c r="J908" s="2294"/>
      <c r="K908" s="2294"/>
      <c r="L908" s="2294"/>
      <c r="M908" s="2294"/>
      <c r="N908" s="2294"/>
      <c r="O908" s="2294"/>
      <c r="P908" s="2294"/>
      <c r="Q908" s="2294"/>
      <c r="R908" s="2294"/>
      <c r="S908" s="2294"/>
      <c r="T908" s="2294"/>
      <c r="U908" s="2294"/>
      <c r="V908" s="2294"/>
      <c r="W908" s="2294"/>
      <c r="X908" s="2294"/>
      <c r="Y908" s="2294"/>
      <c r="Z908" s="2294"/>
      <c r="AA908" s="2294"/>
      <c r="AB908" s="2294"/>
      <c r="AC908" s="2294"/>
      <c r="AD908" s="2294"/>
      <c r="AE908" s="2294"/>
      <c r="AF908" s="2294"/>
      <c r="AG908" s="2294"/>
      <c r="AH908" s="2294"/>
      <c r="AI908" s="2294"/>
      <c r="AJ908" s="2294"/>
      <c r="AK908" s="2294"/>
      <c r="AL908" s="2294"/>
      <c r="AM908" s="144"/>
      <c r="AN908" s="144"/>
      <c r="AO908" s="144"/>
      <c r="AP908" s="144"/>
      <c r="AQ908" s="144"/>
      <c r="AR908" s="144"/>
      <c r="AS908" s="144"/>
      <c r="AT908" s="144"/>
      <c r="AU908" s="144"/>
      <c r="AV908" s="144"/>
      <c r="AW908" s="144"/>
      <c r="AX908" s="144"/>
      <c r="AY908" s="144"/>
      <c r="AZ908" s="61"/>
      <c r="BA908" s="25"/>
      <c r="BB908" s="127"/>
      <c r="BC908" s="1528"/>
      <c r="BD908" s="2318"/>
      <c r="BE908" s="2318"/>
      <c r="BF908" s="2318"/>
      <c r="BG908" s="152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2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28"/>
      <c r="BD909" s="2199"/>
      <c r="BE909" s="2199"/>
      <c r="BF909" s="1209"/>
      <c r="BG909" s="152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27"/>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28"/>
      <c r="BD910" s="2283"/>
      <c r="BE910" s="2199"/>
      <c r="BF910" s="1209"/>
      <c r="BG910" s="152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27"/>
      <c r="CS910" s="61"/>
      <c r="CT910" s="61"/>
      <c r="CU910" s="61"/>
      <c r="CV910" s="61"/>
      <c r="CW910" s="61"/>
      <c r="CX910" s="61"/>
      <c r="CY910" s="61"/>
      <c r="CZ910" s="61"/>
      <c r="DA910" s="61"/>
      <c r="DB910" s="61"/>
      <c r="DC910" s="61"/>
      <c r="DD910" s="61"/>
      <c r="DE910" s="61"/>
      <c r="DF910" s="61"/>
    </row>
    <row r="911" spans="1:110" ht="12.75" customHeight="1">
      <c r="AZ911" s="61"/>
      <c r="BA911" s="25"/>
      <c r="BB911" s="127"/>
      <c r="BC911" s="1528"/>
      <c r="BD911" s="25"/>
      <c r="BE911" s="25"/>
      <c r="BF911" s="25"/>
      <c r="BG911" s="152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2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1951" t="s">
        <v>854</v>
      </c>
      <c r="G912" s="1952"/>
      <c r="H912" s="1952"/>
      <c r="I912" s="1952"/>
      <c r="J912" s="1952"/>
      <c r="K912" s="1952"/>
      <c r="L912" s="1952"/>
      <c r="M912" s="1952"/>
      <c r="N912" s="1952"/>
      <c r="O912" s="1952"/>
      <c r="P912" s="1952"/>
      <c r="Q912" s="1952"/>
      <c r="R912" s="1952"/>
      <c r="S912" s="1952"/>
      <c r="T912" s="1953"/>
      <c r="U912" s="1942" t="s">
        <v>32</v>
      </c>
      <c r="V912" s="1943"/>
      <c r="W912" s="1943"/>
      <c r="X912" s="1943"/>
      <c r="Y912" s="1943"/>
      <c r="Z912" s="1943"/>
      <c r="AA912" s="73"/>
      <c r="AB912" s="161"/>
      <c r="AC912" s="161"/>
      <c r="AD912" s="161"/>
      <c r="AE912" s="161"/>
      <c r="AF912" s="162"/>
      <c r="AZ912" s="61"/>
      <c r="BA912" s="1527"/>
      <c r="BB912" s="127"/>
      <c r="BC912" s="127"/>
      <c r="BD912" s="2283"/>
      <c r="BE912" s="2199"/>
      <c r="BF912" s="1530"/>
      <c r="BG912" s="152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27"/>
      <c r="CS912" s="61"/>
      <c r="CT912" s="61"/>
      <c r="CU912" s="61"/>
      <c r="CV912" s="61"/>
      <c r="CW912" s="61"/>
      <c r="CX912" s="61"/>
      <c r="CY912" s="61"/>
      <c r="CZ912" s="61"/>
      <c r="DA912" s="61"/>
      <c r="DB912" s="61"/>
      <c r="DC912" s="61"/>
      <c r="DD912" s="61"/>
      <c r="DE912" s="61"/>
      <c r="DF912" s="61"/>
    </row>
    <row r="913" spans="2:110" ht="12.75" customHeight="1">
      <c r="B913" s="50"/>
      <c r="F913" s="1945" t="s">
        <v>883</v>
      </c>
      <c r="G913" s="1946"/>
      <c r="H913" s="1946"/>
      <c r="I913" s="1946"/>
      <c r="J913" s="1946"/>
      <c r="K913" s="1946"/>
      <c r="L913" s="1946"/>
      <c r="M913" s="1946"/>
      <c r="N913" s="1946"/>
      <c r="O913" s="1946"/>
      <c r="P913" s="1946"/>
      <c r="Q913" s="1946"/>
      <c r="R913" s="1946"/>
      <c r="S913" s="1946"/>
      <c r="T913" s="1947"/>
      <c r="U913" s="1945"/>
      <c r="V913" s="1946"/>
      <c r="W913" s="1946"/>
      <c r="X913" s="1946"/>
      <c r="Y913" s="1946"/>
      <c r="Z913" s="1946"/>
      <c r="AA913" s="74"/>
      <c r="AB913" s="57"/>
      <c r="AC913" s="57"/>
      <c r="AD913" s="57"/>
      <c r="AE913" s="57"/>
      <c r="AF913" s="163"/>
      <c r="AZ913" s="61"/>
      <c r="BA913" s="1527"/>
      <c r="BB913" s="1527"/>
      <c r="BC913" s="1527"/>
      <c r="BD913" s="1527"/>
      <c r="BE913" s="1527"/>
      <c r="BF913" s="1527"/>
      <c r="BG913" s="152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27"/>
      <c r="CS913" s="61"/>
      <c r="CT913" s="61"/>
      <c r="CU913" s="61"/>
      <c r="CV913" s="61"/>
      <c r="CW913" s="61"/>
      <c r="CX913" s="61"/>
      <c r="CY913" s="61"/>
      <c r="CZ913" s="61"/>
      <c r="DA913" s="61"/>
      <c r="DB913" s="61"/>
      <c r="DC913" s="61"/>
      <c r="DD913" s="61"/>
      <c r="DE913" s="61"/>
      <c r="DF913" s="61"/>
    </row>
    <row r="914" spans="2:110" ht="12.75" customHeight="1">
      <c r="B914" s="50"/>
      <c r="F914" s="1948"/>
      <c r="G914" s="1949"/>
      <c r="H914" s="1949"/>
      <c r="I914" s="1949"/>
      <c r="J914" s="1949"/>
      <c r="K914" s="1949"/>
      <c r="L914" s="1949"/>
      <c r="M914" s="1949"/>
      <c r="N914" s="1949"/>
      <c r="O914" s="1949"/>
      <c r="P914" s="1949"/>
      <c r="Q914" s="1949"/>
      <c r="R914" s="1949"/>
      <c r="S914" s="1949"/>
      <c r="T914" s="1950"/>
      <c r="U914" s="1948"/>
      <c r="V914" s="1949"/>
      <c r="W914" s="1949"/>
      <c r="X914" s="1949"/>
      <c r="Y914" s="1949"/>
      <c r="Z914" s="1949"/>
      <c r="AA914" s="164"/>
      <c r="AB914" s="2314" t="s">
        <v>412</v>
      </c>
      <c r="AC914" s="2314"/>
      <c r="AD914" s="2314"/>
      <c r="AE914" s="2314"/>
      <c r="AF914" s="165"/>
      <c r="AZ914" s="61"/>
      <c r="BA914" s="1527"/>
      <c r="BB914" s="1527"/>
      <c r="BC914" s="1527"/>
      <c r="BD914" s="1527"/>
      <c r="BE914" s="1527"/>
      <c r="BF914" s="1527"/>
      <c r="BG914" s="152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27"/>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190" t="s">
        <v>580</v>
      </c>
      <c r="V915" s="2191"/>
      <c r="W915" s="2191"/>
      <c r="X915" s="2191"/>
      <c r="Y915" s="2191"/>
      <c r="Z915" s="2192"/>
      <c r="AA915" s="2097">
        <f>AM564</f>
        <v>23656064.042769056</v>
      </c>
      <c r="AB915" s="2098"/>
      <c r="AC915" s="2098"/>
      <c r="AD915" s="2098"/>
      <c r="AE915" s="2098"/>
      <c r="AF915" s="209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27"/>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190" t="s">
        <v>580</v>
      </c>
      <c r="V916" s="2191"/>
      <c r="W916" s="2191"/>
      <c r="X916" s="2191"/>
      <c r="Y916" s="2191"/>
      <c r="Z916" s="2192"/>
      <c r="AA916" s="2097">
        <f>AM565</f>
        <v>1997359.7149306724</v>
      </c>
      <c r="AB916" s="2098"/>
      <c r="AC916" s="2098"/>
      <c r="AD916" s="2098"/>
      <c r="AE916" s="2098"/>
      <c r="AF916" s="209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27"/>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190" t="s">
        <v>628</v>
      </c>
      <c r="V917" s="2191"/>
      <c r="W917" s="2191"/>
      <c r="X917" s="2191"/>
      <c r="Y917" s="2191"/>
      <c r="Z917" s="2192"/>
      <c r="AA917" s="2097"/>
      <c r="AB917" s="2098"/>
      <c r="AC917" s="2098"/>
      <c r="AD917" s="2098"/>
      <c r="AE917" s="2098"/>
      <c r="AF917" s="209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27"/>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190" t="s">
        <v>628</v>
      </c>
      <c r="V918" s="2191"/>
      <c r="W918" s="2191"/>
      <c r="X918" s="2191"/>
      <c r="Y918" s="2191"/>
      <c r="Z918" s="2192"/>
      <c r="AA918" s="2097"/>
      <c r="AB918" s="2098"/>
      <c r="AC918" s="2098"/>
      <c r="AD918" s="2098"/>
      <c r="AE918" s="2098"/>
      <c r="AF918" s="209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27"/>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190" t="s">
        <v>628</v>
      </c>
      <c r="V919" s="2191"/>
      <c r="W919" s="2191"/>
      <c r="X919" s="2191"/>
      <c r="Y919" s="2191"/>
      <c r="Z919" s="2192"/>
      <c r="AA919" s="2097"/>
      <c r="AB919" s="2098"/>
      <c r="AC919" s="2098"/>
      <c r="AD919" s="2098"/>
      <c r="AE919" s="2098"/>
      <c r="AF919" s="209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27"/>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190" t="s">
        <v>628</v>
      </c>
      <c r="V920" s="2191"/>
      <c r="W920" s="2191"/>
      <c r="X920" s="2191"/>
      <c r="Y920" s="2191"/>
      <c r="Z920" s="2192"/>
      <c r="AA920" s="2097"/>
      <c r="AB920" s="2098"/>
      <c r="AC920" s="2098"/>
      <c r="AD920" s="2098"/>
      <c r="AE920" s="2098"/>
      <c r="AF920" s="209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27"/>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190" t="s">
        <v>628</v>
      </c>
      <c r="V921" s="2191"/>
      <c r="W921" s="2191"/>
      <c r="X921" s="2191"/>
      <c r="Y921" s="2191"/>
      <c r="Z921" s="2192"/>
      <c r="AA921" s="2097"/>
      <c r="AB921" s="2098"/>
      <c r="AC921" s="2098"/>
      <c r="AD921" s="2098"/>
      <c r="AE921" s="2098"/>
      <c r="AF921" s="209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27"/>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190" t="s">
        <v>628</v>
      </c>
      <c r="V922" s="2191"/>
      <c r="W922" s="2191"/>
      <c r="X922" s="2191"/>
      <c r="Y922" s="2191"/>
      <c r="Z922" s="2192"/>
      <c r="AA922" s="2097"/>
      <c r="AB922" s="2098"/>
      <c r="AC922" s="2098"/>
      <c r="AD922" s="2098"/>
      <c r="AE922" s="2098"/>
      <c r="AF922" s="209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27"/>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190" t="s">
        <v>628</v>
      </c>
      <c r="V923" s="2191"/>
      <c r="W923" s="2191"/>
      <c r="X923" s="2191"/>
      <c r="Y923" s="2191"/>
      <c r="Z923" s="2192"/>
      <c r="AA923" s="2097"/>
      <c r="AB923" s="2098"/>
      <c r="AC923" s="2098"/>
      <c r="AD923" s="2098"/>
      <c r="AE923" s="2098"/>
      <c r="AF923" s="209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27"/>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190" t="s">
        <v>628</v>
      </c>
      <c r="V924" s="2191"/>
      <c r="W924" s="2191"/>
      <c r="X924" s="2191"/>
      <c r="Y924" s="2191"/>
      <c r="Z924" s="2192"/>
      <c r="AA924" s="2097"/>
      <c r="AB924" s="2098"/>
      <c r="AC924" s="2098"/>
      <c r="AD924" s="2098"/>
      <c r="AE924" s="2098"/>
      <c r="AF924" s="209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27"/>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190" t="s">
        <v>628</v>
      </c>
      <c r="V925" s="2191"/>
      <c r="W925" s="2191"/>
      <c r="X925" s="2191"/>
      <c r="Y925" s="2191"/>
      <c r="Z925" s="2192"/>
      <c r="AA925" s="2097"/>
      <c r="AB925" s="2098"/>
      <c r="AC925" s="2098"/>
      <c r="AD925" s="2098"/>
      <c r="AE925" s="2098"/>
      <c r="AF925" s="209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27"/>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190" t="s">
        <v>628</v>
      </c>
      <c r="V926" s="2191"/>
      <c r="W926" s="2191"/>
      <c r="X926" s="2191"/>
      <c r="Y926" s="2191"/>
      <c r="Z926" s="2192"/>
      <c r="AA926" s="2097"/>
      <c r="AB926" s="2098"/>
      <c r="AC926" s="2098"/>
      <c r="AD926" s="2098"/>
      <c r="AE926" s="2098"/>
      <c r="AF926" s="209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27"/>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190" t="s">
        <v>628</v>
      </c>
      <c r="V927" s="2191"/>
      <c r="W927" s="2191"/>
      <c r="X927" s="2191"/>
      <c r="Y927" s="2191"/>
      <c r="Z927" s="2192"/>
      <c r="AA927" s="2097"/>
      <c r="AB927" s="2098"/>
      <c r="AC927" s="2098"/>
      <c r="AD927" s="2098"/>
      <c r="AE927" s="2098"/>
      <c r="AF927" s="209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27"/>
      <c r="CS927" s="61"/>
      <c r="CT927" s="61"/>
      <c r="CU927" s="61"/>
      <c r="CV927" s="61"/>
      <c r="CW927" s="61"/>
      <c r="CX927" s="61"/>
      <c r="CY927" s="61"/>
      <c r="CZ927" s="61"/>
      <c r="DA927" s="61"/>
      <c r="DB927" s="61"/>
      <c r="DC927" s="61"/>
      <c r="DD927" s="61"/>
      <c r="DE927" s="61"/>
      <c r="DF927" s="61"/>
    </row>
    <row r="928" spans="2:110" ht="12.75" customHeight="1">
      <c r="F928" s="815" t="s">
        <v>1503</v>
      </c>
      <c r="G928" s="148"/>
      <c r="H928" s="148"/>
      <c r="I928" s="148"/>
      <c r="J928" s="148"/>
      <c r="K928" s="148"/>
      <c r="L928" s="148"/>
      <c r="M928" s="148"/>
      <c r="N928" s="148"/>
      <c r="O928" s="148"/>
      <c r="P928" s="148"/>
      <c r="Q928" s="148"/>
      <c r="R928" s="148"/>
      <c r="S928" s="148"/>
      <c r="T928" s="337"/>
      <c r="U928" s="2190" t="s">
        <v>628</v>
      </c>
      <c r="V928" s="2191"/>
      <c r="W928" s="2191"/>
      <c r="X928" s="2191"/>
      <c r="Y928" s="2191"/>
      <c r="Z928" s="2192"/>
      <c r="AA928" s="2097"/>
      <c r="AB928" s="2098"/>
      <c r="AC928" s="2098"/>
      <c r="AD928" s="2098"/>
      <c r="AE928" s="2098"/>
      <c r="AF928" s="209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27"/>
      <c r="CS928" s="61"/>
      <c r="CT928" s="61"/>
      <c r="CU928" s="61"/>
      <c r="CV928" s="61"/>
      <c r="CW928" s="61"/>
      <c r="CX928" s="61"/>
      <c r="CY928" s="61"/>
      <c r="CZ928" s="61"/>
      <c r="DA928" s="61"/>
      <c r="DB928" s="61"/>
      <c r="DC928" s="61"/>
      <c r="DD928" s="61"/>
      <c r="DE928" s="61"/>
      <c r="DF928" s="61"/>
    </row>
    <row r="929" spans="1:110" ht="12.75" customHeight="1">
      <c r="F929" s="815" t="s">
        <v>1504</v>
      </c>
      <c r="G929" s="77"/>
      <c r="H929" s="77"/>
      <c r="I929" s="77"/>
      <c r="J929" s="77"/>
      <c r="K929" s="77"/>
      <c r="L929" s="77"/>
      <c r="M929" s="77"/>
      <c r="N929" s="77"/>
      <c r="O929" s="77"/>
      <c r="P929" s="148"/>
      <c r="Q929" s="148"/>
      <c r="R929" s="148"/>
      <c r="S929" s="148"/>
      <c r="T929" s="337"/>
      <c r="U929" s="2190" t="s">
        <v>628</v>
      </c>
      <c r="V929" s="2191"/>
      <c r="W929" s="2191"/>
      <c r="X929" s="2191"/>
      <c r="Y929" s="2191"/>
      <c r="Z929" s="2192"/>
      <c r="AA929" s="2097"/>
      <c r="AB929" s="2098"/>
      <c r="AC929" s="2098"/>
      <c r="AD929" s="2098"/>
      <c r="AE929" s="2098"/>
      <c r="AF929" s="209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27"/>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190" t="s">
        <v>708</v>
      </c>
      <c r="Q930" s="2191"/>
      <c r="R930" s="2191"/>
      <c r="S930" s="2191"/>
      <c r="T930" s="2192"/>
      <c r="U930" s="2190" t="s">
        <v>628</v>
      </c>
      <c r="V930" s="2191"/>
      <c r="W930" s="2191"/>
      <c r="X930" s="2191"/>
      <c r="Y930" s="2191"/>
      <c r="Z930" s="2192"/>
      <c r="AA930" s="2097"/>
      <c r="AB930" s="2098"/>
      <c r="AC930" s="2098"/>
      <c r="AD930" s="2098"/>
      <c r="AE930" s="2098"/>
      <c r="AF930" s="209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2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9" t="s">
        <v>2567</v>
      </c>
      <c r="J931" s="2300"/>
      <c r="K931" s="2300"/>
      <c r="L931" s="2300"/>
      <c r="M931" s="2300"/>
      <c r="N931" s="2300"/>
      <c r="O931" s="2300"/>
      <c r="P931" s="2300"/>
      <c r="Q931" s="2300"/>
      <c r="R931" s="2300"/>
      <c r="S931" s="2300"/>
      <c r="T931" s="2301"/>
      <c r="U931" s="2190" t="s">
        <v>580</v>
      </c>
      <c r="V931" s="2191"/>
      <c r="W931" s="2191"/>
      <c r="X931" s="2191"/>
      <c r="Y931" s="2191"/>
      <c r="Z931" s="2192"/>
      <c r="AA931" s="2097">
        <f>AM566</f>
        <v>5477743</v>
      </c>
      <c r="AB931" s="2098"/>
      <c r="AC931" s="2098"/>
      <c r="AD931" s="2098"/>
      <c r="AE931" s="2098"/>
      <c r="AF931" s="209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2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61" t="s">
        <v>2568</v>
      </c>
      <c r="J932" s="2262"/>
      <c r="K932" s="2262"/>
      <c r="L932" s="2262"/>
      <c r="M932" s="2262"/>
      <c r="N932" s="2262"/>
      <c r="O932" s="2262"/>
      <c r="P932" s="2262"/>
      <c r="Q932" s="2262"/>
      <c r="R932" s="2262"/>
      <c r="S932" s="2262"/>
      <c r="T932" s="2263"/>
      <c r="U932" s="2190" t="s">
        <v>580</v>
      </c>
      <c r="V932" s="2191"/>
      <c r="W932" s="2191"/>
      <c r="X932" s="2191"/>
      <c r="Y932" s="2191"/>
      <c r="Z932" s="2192"/>
      <c r="AA932" s="2097">
        <f>AM567+AO640</f>
        <v>5129384</v>
      </c>
      <c r="AB932" s="2098"/>
      <c r="AC932" s="2098"/>
      <c r="AD932" s="2098"/>
      <c r="AE932" s="2098"/>
      <c r="AF932" s="209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2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61" t="s">
        <v>345</v>
      </c>
      <c r="J933" s="2262"/>
      <c r="K933" s="2262"/>
      <c r="L933" s="2262"/>
      <c r="M933" s="2262"/>
      <c r="N933" s="2262"/>
      <c r="O933" s="2262"/>
      <c r="P933" s="2262"/>
      <c r="Q933" s="2262"/>
      <c r="R933" s="2262"/>
      <c r="S933" s="2262"/>
      <c r="T933" s="2263"/>
      <c r="U933" s="2190" t="s">
        <v>628</v>
      </c>
      <c r="V933" s="2191"/>
      <c r="W933" s="2191"/>
      <c r="X933" s="2191"/>
      <c r="Y933" s="2191"/>
      <c r="Z933" s="2192"/>
      <c r="AA933" s="2097"/>
      <c r="AB933" s="2098"/>
      <c r="AC933" s="2098"/>
      <c r="AD933" s="2098"/>
      <c r="AE933" s="2098"/>
      <c r="AF933" s="209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2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61" t="s">
        <v>345</v>
      </c>
      <c r="J934" s="2262"/>
      <c r="K934" s="2262"/>
      <c r="L934" s="2262"/>
      <c r="M934" s="2262"/>
      <c r="N934" s="2262"/>
      <c r="O934" s="2262"/>
      <c r="P934" s="2262"/>
      <c r="Q934" s="2262"/>
      <c r="R934" s="2262"/>
      <c r="S934" s="2262"/>
      <c r="T934" s="2263"/>
      <c r="U934" s="2190" t="s">
        <v>628</v>
      </c>
      <c r="V934" s="2191"/>
      <c r="W934" s="2191"/>
      <c r="X934" s="2191"/>
      <c r="Y934" s="2191"/>
      <c r="Z934" s="2192"/>
      <c r="AA934" s="2097"/>
      <c r="AB934" s="2098"/>
      <c r="AC934" s="2098"/>
      <c r="AD934" s="2098"/>
      <c r="AE934" s="2098"/>
      <c r="AF934" s="209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2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27"/>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27"/>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03"/>
      <c r="AN937" s="1503"/>
      <c r="AO937" s="1503"/>
      <c r="AP937" s="1503"/>
      <c r="AQ937" s="1503"/>
      <c r="AR937" s="1503"/>
      <c r="AS937" s="1503"/>
      <c r="AT937" s="1503"/>
      <c r="AU937" s="1503"/>
      <c r="AV937" s="1503"/>
      <c r="AW937" s="1503"/>
      <c r="AX937" s="1503"/>
      <c r="AY937" s="150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2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2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64">
        <v>44211</v>
      </c>
      <c r="N939" s="2220"/>
      <c r="O939" s="2220"/>
      <c r="P939" s="2220"/>
      <c r="Q939" s="2220"/>
      <c r="R939" s="2220"/>
      <c r="S939" s="2265"/>
      <c r="U939" s="103" t="s">
        <v>11</v>
      </c>
      <c r="V939" s="77"/>
      <c r="W939" s="77"/>
      <c r="X939" s="77"/>
      <c r="Y939" s="77"/>
      <c r="Z939" s="77"/>
      <c r="AA939" s="77"/>
      <c r="AB939" s="77"/>
      <c r="AC939" s="77"/>
      <c r="AD939" s="78"/>
      <c r="AE939" s="2264"/>
      <c r="AF939" s="2220"/>
      <c r="AG939" s="2220"/>
      <c r="AH939" s="2220"/>
      <c r="AI939" s="2220"/>
      <c r="AJ939" s="2220"/>
      <c r="AK939" s="226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2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7" t="s">
        <v>2570</v>
      </c>
      <c r="N940" s="2278"/>
      <c r="O940" s="2278"/>
      <c r="P940" s="2278"/>
      <c r="Q940" s="2278"/>
      <c r="R940" s="2278"/>
      <c r="S940" s="2279"/>
      <c r="U940" s="103" t="s">
        <v>12</v>
      </c>
      <c r="V940" s="77"/>
      <c r="W940" s="77"/>
      <c r="X940" s="77"/>
      <c r="Y940" s="77"/>
      <c r="Z940" s="77"/>
      <c r="AA940" s="77"/>
      <c r="AB940" s="77"/>
      <c r="AC940" s="77"/>
      <c r="AD940" s="78"/>
      <c r="AE940" s="2277"/>
      <c r="AF940" s="2278"/>
      <c r="AG940" s="2278"/>
      <c r="AH940" s="2278"/>
      <c r="AI940" s="2278"/>
      <c r="AJ940" s="2278"/>
      <c r="AK940" s="227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27"/>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284" t="s">
        <v>2569</v>
      </c>
      <c r="K941" s="2285"/>
      <c r="L941" s="2285"/>
      <c r="M941" s="2285"/>
      <c r="N941" s="2285"/>
      <c r="O941" s="2285"/>
      <c r="P941" s="2285"/>
      <c r="Q941" s="2285"/>
      <c r="R941" s="2285"/>
      <c r="S941" s="2286"/>
      <c r="U941" s="103" t="s">
        <v>949</v>
      </c>
      <c r="V941" s="77"/>
      <c r="W941" s="77"/>
      <c r="AB941" s="2284" t="s">
        <v>318</v>
      </c>
      <c r="AC941" s="2285"/>
      <c r="AD941" s="2285"/>
      <c r="AE941" s="2285"/>
      <c r="AF941" s="2285"/>
      <c r="AG941" s="2285"/>
      <c r="AH941" s="2285"/>
      <c r="AI941" s="2285"/>
      <c r="AJ941" s="2285"/>
      <c r="AK941" s="228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2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95">
        <f>'[9]main spreadsheet'!$C$32/G753</f>
        <v>0.23076923076923078</v>
      </c>
      <c r="N942" s="2296"/>
      <c r="O942" s="2296"/>
      <c r="P942" s="2296"/>
      <c r="Q942" s="2296"/>
      <c r="R942" s="2296"/>
      <c r="S942" s="2297"/>
      <c r="U942" s="103" t="s">
        <v>13</v>
      </c>
      <c r="V942" s="77"/>
      <c r="W942" s="77"/>
      <c r="X942" s="77"/>
      <c r="Y942" s="77"/>
      <c r="Z942" s="77"/>
      <c r="AA942" s="77"/>
      <c r="AB942" s="77"/>
      <c r="AC942" s="77"/>
      <c r="AD942" s="78"/>
      <c r="AE942" s="2298"/>
      <c r="AF942" s="2296"/>
      <c r="AG942" s="2296"/>
      <c r="AH942" s="2296"/>
      <c r="AI942" s="2296"/>
      <c r="AJ942" s="2296"/>
      <c r="AK942" s="229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2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115">
        <f>'[9]main spreadsheet'!$C$32</f>
        <v>15</v>
      </c>
      <c r="N943" s="2116"/>
      <c r="O943" s="2116"/>
      <c r="P943" s="2116"/>
      <c r="Q943" s="2116"/>
      <c r="R943" s="2116"/>
      <c r="S943" s="2117"/>
      <c r="U943" s="103" t="s">
        <v>14</v>
      </c>
      <c r="V943" s="77"/>
      <c r="W943" s="77"/>
      <c r="X943" s="77"/>
      <c r="Y943" s="77"/>
      <c r="Z943" s="77"/>
      <c r="AA943" s="77"/>
      <c r="AB943" s="77"/>
      <c r="AC943" s="77"/>
      <c r="AD943" s="78"/>
      <c r="AE943" s="2115"/>
      <c r="AF943" s="2116"/>
      <c r="AG943" s="2116"/>
      <c r="AH943" s="2116"/>
      <c r="AI943" s="2116"/>
      <c r="AJ943" s="2116"/>
      <c r="AK943" s="211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2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097">
        <f>Z807</f>
        <v>212964</v>
      </c>
      <c r="N944" s="2098"/>
      <c r="O944" s="2098"/>
      <c r="P944" s="2098"/>
      <c r="Q944" s="2098"/>
      <c r="R944" s="2098"/>
      <c r="S944" s="2099"/>
      <c r="U944" s="103" t="s">
        <v>15</v>
      </c>
      <c r="V944" s="77"/>
      <c r="W944" s="77"/>
      <c r="X944" s="77"/>
      <c r="Y944" s="77"/>
      <c r="Z944" s="77"/>
      <c r="AA944" s="77"/>
      <c r="AB944" s="77"/>
      <c r="AC944" s="77"/>
      <c r="AD944" s="78"/>
      <c r="AE944" s="2097"/>
      <c r="AF944" s="2098"/>
      <c r="AG944" s="2098"/>
      <c r="AH944" s="2098"/>
      <c r="AI944" s="2098"/>
      <c r="AJ944" s="2098"/>
      <c r="AK944" s="209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2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097">
        <f>M944*M946</f>
        <v>5324100</v>
      </c>
      <c r="N945" s="2098"/>
      <c r="O945" s="2098"/>
      <c r="P945" s="2098"/>
      <c r="Q945" s="2098"/>
      <c r="R945" s="2098"/>
      <c r="S945" s="2099"/>
      <c r="U945" s="103" t="s">
        <v>16</v>
      </c>
      <c r="V945" s="77"/>
      <c r="W945" s="77"/>
      <c r="X945" s="77"/>
      <c r="Y945" s="77"/>
      <c r="Z945" s="77"/>
      <c r="AA945" s="77"/>
      <c r="AB945" s="77"/>
      <c r="AC945" s="77"/>
      <c r="AD945" s="78"/>
      <c r="AE945" s="2097"/>
      <c r="AF945" s="2098"/>
      <c r="AG945" s="2098"/>
      <c r="AH945" s="2098"/>
      <c r="AI945" s="2098"/>
      <c r="AJ945" s="2098"/>
      <c r="AK945" s="209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27"/>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36">
        <v>25</v>
      </c>
      <c r="N946" s="2037"/>
      <c r="O946" s="2037"/>
      <c r="P946" s="2037"/>
      <c r="Q946" s="2037"/>
      <c r="R946" s="2037"/>
      <c r="S946" s="2038"/>
      <c r="U946" s="103" t="s">
        <v>607</v>
      </c>
      <c r="V946" s="77"/>
      <c r="W946" s="77"/>
      <c r="X946" s="77"/>
      <c r="Y946" s="77"/>
      <c r="Z946" s="77"/>
      <c r="AA946" s="77"/>
      <c r="AB946" s="77"/>
      <c r="AC946" s="77"/>
      <c r="AD946" s="78"/>
      <c r="AE946" s="2036"/>
      <c r="AF946" s="2037"/>
      <c r="AG946" s="2037"/>
      <c r="AH946" s="2037"/>
      <c r="AI946" s="2037"/>
      <c r="AJ946" s="2037"/>
      <c r="AK946" s="203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2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27"/>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03"/>
      <c r="AN948" s="1503"/>
      <c r="AO948" s="1503"/>
      <c r="AP948" s="1503"/>
      <c r="AQ948" s="1503"/>
      <c r="AR948" s="1503"/>
      <c r="AS948" s="1503"/>
      <c r="AT948" s="1503"/>
      <c r="AU948" s="1503"/>
      <c r="AV948" s="1503"/>
      <c r="AW948" s="1503"/>
      <c r="AX948" s="1503"/>
      <c r="AY948" s="150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2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03"/>
      <c r="AN949" s="1503"/>
      <c r="AO949" s="1503"/>
      <c r="AP949" s="1503"/>
      <c r="AQ949" s="1503"/>
      <c r="AR949" s="1503"/>
      <c r="AS949" s="1503"/>
      <c r="AT949" s="1503"/>
      <c r="AU949" s="1503"/>
      <c r="AV949" s="1503"/>
      <c r="AW949" s="1503"/>
      <c r="AX949" s="1503"/>
      <c r="AY949" s="150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2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03"/>
      <c r="AN950" s="1503"/>
      <c r="AO950" s="1503"/>
      <c r="AP950" s="1503"/>
      <c r="AQ950" s="1503"/>
      <c r="AR950" s="1503"/>
      <c r="AS950" s="1503"/>
      <c r="AT950" s="1503"/>
      <c r="AU950" s="1503"/>
      <c r="AV950" s="1503"/>
      <c r="AW950" s="1503"/>
      <c r="AX950" s="1503"/>
      <c r="AY950" s="150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27"/>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09"/>
      <c r="N951" s="2210"/>
      <c r="O951" s="2210"/>
      <c r="P951" s="2210"/>
      <c r="Q951" s="2210"/>
      <c r="R951" s="2210"/>
      <c r="S951" s="2211"/>
      <c r="T951" s="103" t="s">
        <v>852</v>
      </c>
      <c r="U951" s="77"/>
      <c r="V951" s="77"/>
      <c r="W951" s="77"/>
      <c r="X951" s="77"/>
      <c r="Y951" s="77"/>
      <c r="Z951" s="78"/>
      <c r="AA951" s="2209"/>
      <c r="AB951" s="2210"/>
      <c r="AC951" s="2210"/>
      <c r="AD951" s="2210"/>
      <c r="AE951" s="2210"/>
      <c r="AF951" s="2210"/>
      <c r="AG951" s="221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27"/>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09"/>
      <c r="N952" s="2210"/>
      <c r="O952" s="2210"/>
      <c r="P952" s="2210"/>
      <c r="Q952" s="2210"/>
      <c r="R952" s="2210"/>
      <c r="S952" s="2211"/>
      <c r="T952" s="103" t="s">
        <v>851</v>
      </c>
      <c r="U952" s="77"/>
      <c r="V952" s="77"/>
      <c r="W952" s="77"/>
      <c r="X952" s="77"/>
      <c r="Y952" s="77"/>
      <c r="Z952" s="78"/>
      <c r="AA952" s="2209"/>
      <c r="AB952" s="2210"/>
      <c r="AC952" s="2210"/>
      <c r="AD952" s="2210"/>
      <c r="AE952" s="2210"/>
      <c r="AF952" s="2210"/>
      <c r="AG952" s="221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27"/>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213" t="s">
        <v>628</v>
      </c>
      <c r="N953" s="2214"/>
      <c r="O953" s="2214"/>
      <c r="P953" s="2214"/>
      <c r="Q953" s="2214"/>
      <c r="R953" s="2214"/>
      <c r="S953" s="2215"/>
      <c r="T953" s="76" t="s">
        <v>348</v>
      </c>
      <c r="U953" s="77"/>
      <c r="V953" s="77"/>
      <c r="W953" s="77"/>
      <c r="X953" s="77"/>
      <c r="Y953" s="77"/>
      <c r="Z953" s="78"/>
      <c r="AA953" s="2209"/>
      <c r="AB953" s="2210"/>
      <c r="AC953" s="2210"/>
      <c r="AD953" s="2210"/>
      <c r="AE953" s="2210"/>
      <c r="AF953" s="2210"/>
      <c r="AG953" s="221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27"/>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09"/>
      <c r="N954" s="2210"/>
      <c r="O954" s="2210"/>
      <c r="P954" s="2210"/>
      <c r="Q954" s="2210"/>
      <c r="R954" s="2210"/>
      <c r="S954" s="2211"/>
      <c r="T954" s="76" t="s">
        <v>349</v>
      </c>
      <c r="U954" s="77"/>
      <c r="V954" s="77"/>
      <c r="W954" s="77"/>
      <c r="X954" s="77"/>
      <c r="Y954" s="77"/>
      <c r="Z954" s="78"/>
      <c r="AA954" s="2209"/>
      <c r="AB954" s="2210"/>
      <c r="AC954" s="2210"/>
      <c r="AD954" s="2210"/>
      <c r="AE954" s="2210"/>
      <c r="AF954" s="2210"/>
      <c r="AG954" s="221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27"/>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09"/>
      <c r="N955" s="2210"/>
      <c r="O955" s="2210"/>
      <c r="P955" s="2210"/>
      <c r="Q955" s="2210"/>
      <c r="R955" s="2210"/>
      <c r="S955" s="2211"/>
      <c r="T955" s="76" t="s">
        <v>396</v>
      </c>
      <c r="U955" s="77"/>
      <c r="V955" s="77"/>
      <c r="W955" s="77"/>
      <c r="X955" s="77"/>
      <c r="Y955" s="77"/>
      <c r="Z955" s="78"/>
      <c r="AA955" s="2209"/>
      <c r="AB955" s="2210"/>
      <c r="AC955" s="2210"/>
      <c r="AD955" s="2210"/>
      <c r="AE955" s="2210"/>
      <c r="AF955" s="2210"/>
      <c r="AG955" s="221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27"/>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274" t="s">
        <v>318</v>
      </c>
      <c r="N956" s="2275"/>
      <c r="O956" s="2275"/>
      <c r="P956" s="2275"/>
      <c r="Q956" s="2275"/>
      <c r="R956" s="2275"/>
      <c r="S956" s="2276"/>
      <c r="T956" s="2290"/>
      <c r="U956" s="2291"/>
      <c r="V956" s="2291"/>
      <c r="W956" s="2291"/>
      <c r="X956" s="2291"/>
      <c r="Y956" s="2291"/>
      <c r="Z956" s="2292"/>
      <c r="AA956" s="2209"/>
      <c r="AB956" s="2210"/>
      <c r="AC956" s="2210"/>
      <c r="AD956" s="2210"/>
      <c r="AE956" s="2210"/>
      <c r="AF956" s="2210"/>
      <c r="AG956" s="221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27"/>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09"/>
      <c r="N957" s="2210"/>
      <c r="O957" s="2210"/>
      <c r="P957" s="2210"/>
      <c r="Q957" s="2210"/>
      <c r="R957" s="2210"/>
      <c r="S957" s="2211"/>
      <c r="T957" s="2290"/>
      <c r="U957" s="2291"/>
      <c r="V957" s="2291"/>
      <c r="W957" s="2291"/>
      <c r="X957" s="2291"/>
      <c r="Y957" s="2291"/>
      <c r="Z957" s="2292"/>
      <c r="AA957" s="2209"/>
      <c r="AB957" s="2210"/>
      <c r="AC957" s="2210"/>
      <c r="AD957" s="2210"/>
      <c r="AE957" s="2210"/>
      <c r="AF957" s="2210"/>
      <c r="AG957" s="221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27"/>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266" t="s">
        <v>708</v>
      </c>
      <c r="P958" s="2267"/>
      <c r="Q958" s="139"/>
      <c r="R958" s="139"/>
      <c r="S958" s="140"/>
      <c r="T958" s="71" t="s">
        <v>175</v>
      </c>
      <c r="U958" s="72"/>
      <c r="V958" s="72"/>
      <c r="W958" s="2165" t="s">
        <v>345</v>
      </c>
      <c r="X958" s="2166"/>
      <c r="Y958" s="2166"/>
      <c r="Z958" s="2166"/>
      <c r="AA958" s="2166"/>
      <c r="AB958" s="2166"/>
      <c r="AC958" s="2166"/>
      <c r="AD958" s="2166"/>
      <c r="AE958" s="2166"/>
      <c r="AF958" s="2166"/>
      <c r="AG958" s="216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27"/>
      <c r="CS958" s="61"/>
      <c r="CT958" s="61"/>
      <c r="CU958" s="61"/>
      <c r="CV958" s="61"/>
      <c r="CW958" s="61"/>
      <c r="CX958" s="61"/>
      <c r="CY958" s="61"/>
      <c r="CZ958" s="61"/>
      <c r="DA958" s="61"/>
      <c r="DB958" s="61"/>
      <c r="DC958" s="61"/>
      <c r="DD958" s="61"/>
      <c r="DE958" s="61"/>
      <c r="DF958" s="61"/>
    </row>
    <row r="959" spans="1:110" ht="12.75" customHeight="1">
      <c r="F959" s="2268" t="s">
        <v>34</v>
      </c>
      <c r="G959" s="2269"/>
      <c r="H959" s="2269"/>
      <c r="I959" s="2269"/>
      <c r="J959" s="2269"/>
      <c r="K959" s="2269"/>
      <c r="L959" s="2269"/>
      <c r="M959" s="2209"/>
      <c r="N959" s="2210"/>
      <c r="O959" s="2210"/>
      <c r="P959" s="2210"/>
      <c r="Q959" s="2210"/>
      <c r="R959" s="2210"/>
      <c r="S959" s="2211"/>
      <c r="T959" s="79"/>
      <c r="U959" s="80"/>
      <c r="V959" s="80"/>
      <c r="W959" s="80"/>
      <c r="X959" s="80"/>
      <c r="Y959" s="80"/>
      <c r="Z959" s="188" t="s">
        <v>139</v>
      </c>
      <c r="AA959" s="2287"/>
      <c r="AB959" s="2288"/>
      <c r="AC959" s="2288"/>
      <c r="AD959" s="2288"/>
      <c r="AE959" s="2288"/>
      <c r="AF959" s="2288"/>
      <c r="AG959" s="228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2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2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2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27"/>
      <c r="CS962" s="61"/>
      <c r="CT962" s="61"/>
      <c r="CU962" s="61"/>
      <c r="CV962" s="61"/>
      <c r="CW962" s="61"/>
      <c r="CX962" s="61"/>
      <c r="CY962" s="61"/>
      <c r="CZ962" s="61"/>
      <c r="DA962" s="61"/>
      <c r="DB962" s="61"/>
      <c r="DC962" s="61"/>
      <c r="DD962" s="61"/>
      <c r="DE962" s="61"/>
      <c r="DF962" s="61"/>
    </row>
    <row r="963" spans="1:110" ht="12.75" customHeight="1">
      <c r="A963" s="2087" t="s">
        <v>583</v>
      </c>
      <c r="B963" s="2087"/>
      <c r="C963" s="2087"/>
      <c r="D963" s="2087"/>
      <c r="E963" s="2087"/>
      <c r="F963" s="2087"/>
      <c r="G963" s="2087"/>
      <c r="H963" s="2087"/>
      <c r="I963" s="2087"/>
      <c r="J963" s="2087"/>
      <c r="K963" s="2087"/>
      <c r="L963" s="2087"/>
      <c r="M963" s="2087"/>
      <c r="N963" s="2087"/>
      <c r="O963" s="2087"/>
      <c r="P963" s="2087"/>
      <c r="Q963" s="2087"/>
      <c r="R963" s="2087"/>
      <c r="S963" s="2087"/>
      <c r="T963" s="2087"/>
      <c r="U963" s="2087"/>
      <c r="V963" s="2087"/>
      <c r="W963" s="2087"/>
      <c r="X963" s="2087"/>
      <c r="Y963" s="2087"/>
      <c r="Z963" s="2087"/>
      <c r="AA963" s="2087"/>
      <c r="AB963" s="2087"/>
      <c r="AC963" s="2087"/>
      <c r="AD963" s="2087"/>
      <c r="AE963" s="2087"/>
      <c r="AF963" s="2087"/>
      <c r="AG963" s="2087"/>
      <c r="AH963" s="2087"/>
      <c r="AI963" s="2087"/>
      <c r="AJ963" s="2087"/>
      <c r="AK963" s="2087"/>
      <c r="AL963" s="2087"/>
      <c r="AM963" s="2087"/>
      <c r="AN963" s="2087"/>
      <c r="AO963" s="2087"/>
      <c r="AP963" s="2087"/>
      <c r="AQ963" s="2087"/>
      <c r="AR963" s="2087"/>
      <c r="AS963" s="208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27"/>
      <c r="CS963" s="61"/>
      <c r="CT963" s="61"/>
      <c r="CU963" s="61"/>
      <c r="CV963" s="61"/>
      <c r="CW963" s="61"/>
      <c r="CX963" s="61"/>
      <c r="CY963" s="61"/>
      <c r="CZ963" s="61"/>
      <c r="DA963" s="61"/>
      <c r="DB963" s="61"/>
      <c r="DC963" s="61"/>
      <c r="DD963" s="61"/>
      <c r="DE963" s="61"/>
      <c r="DF963" s="61"/>
    </row>
    <row r="964" spans="1:110" s="51" customFormat="1" ht="12.75" customHeight="1">
      <c r="A964" s="2087"/>
      <c r="B964" s="2087"/>
      <c r="C964" s="2087"/>
      <c r="D964" s="2087"/>
      <c r="E964" s="2087"/>
      <c r="F964" s="2087"/>
      <c r="G964" s="2087"/>
      <c r="H964" s="2087"/>
      <c r="I964" s="2087"/>
      <c r="J964" s="2087"/>
      <c r="K964" s="2087"/>
      <c r="L964" s="2087"/>
      <c r="M964" s="2087"/>
      <c r="N964" s="2087"/>
      <c r="O964" s="2087"/>
      <c r="P964" s="2087"/>
      <c r="Q964" s="2087"/>
      <c r="R964" s="2087"/>
      <c r="S964" s="2087"/>
      <c r="T964" s="2087"/>
      <c r="U964" s="2087"/>
      <c r="V964" s="2087"/>
      <c r="W964" s="2087"/>
      <c r="X964" s="2087"/>
      <c r="Y964" s="2087"/>
      <c r="Z964" s="2087"/>
      <c r="AA964" s="2087"/>
      <c r="AB964" s="2087"/>
      <c r="AC964" s="2087"/>
      <c r="AD964" s="2087"/>
      <c r="AE964" s="2087"/>
      <c r="AF964" s="2087"/>
      <c r="AG964" s="2087"/>
      <c r="AH964" s="2087"/>
      <c r="AI964" s="2087"/>
      <c r="AJ964" s="2087"/>
      <c r="AK964" s="2087"/>
      <c r="AL964" s="2087"/>
      <c r="AM964" s="2087"/>
      <c r="AN964" s="2087"/>
      <c r="AO964" s="2087"/>
      <c r="AP964" s="2087"/>
      <c r="AQ964" s="2087"/>
      <c r="AR964" s="2087"/>
      <c r="AS964" s="208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67"/>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04"/>
      <c r="AN965" s="1504"/>
      <c r="AO965" s="1504"/>
      <c r="AP965" s="1504"/>
      <c r="AQ965" s="1504"/>
      <c r="AR965" s="1504"/>
      <c r="AS965" s="1504"/>
      <c r="AT965" s="1504"/>
      <c r="AU965" s="1504"/>
      <c r="AV965" s="1504"/>
      <c r="AW965" s="1504"/>
      <c r="AX965" s="1504"/>
      <c r="AY965" s="1504"/>
      <c r="AZ965" s="21"/>
      <c r="BB965" s="21"/>
      <c r="BC965" s="21"/>
      <c r="BD965" s="21"/>
      <c r="BE965" s="21"/>
      <c r="BF965" s="21"/>
      <c r="BG965" s="2216"/>
      <c r="BH965" s="2216"/>
      <c r="BI965" s="2216"/>
      <c r="BJ965" s="2216"/>
      <c r="BK965" s="2216"/>
      <c r="BL965" s="2216"/>
      <c r="BM965" s="56"/>
      <c r="BN965" s="56"/>
      <c r="CB965" s="107"/>
      <c r="CC965" s="107"/>
      <c r="CD965" s="107"/>
      <c r="CE965" s="107"/>
      <c r="CF965" s="107"/>
      <c r="CG965" s="107"/>
      <c r="CH965" s="107"/>
      <c r="CI965" s="107"/>
      <c r="CJ965" s="107"/>
      <c r="CK965" s="107"/>
      <c r="CL965" s="107"/>
      <c r="CM965" s="107"/>
      <c r="CN965" s="107"/>
      <c r="CO965" s="107"/>
      <c r="CP965" s="107"/>
      <c r="CQ965" s="107"/>
      <c r="CR965" s="1667"/>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04"/>
      <c r="AN966" s="1504"/>
      <c r="AO966" s="1504"/>
      <c r="AP966" s="1504"/>
      <c r="AQ966" s="1504"/>
      <c r="AR966" s="1504"/>
      <c r="AS966" s="1504"/>
      <c r="AT966" s="1504"/>
      <c r="AU966" s="1504"/>
      <c r="AV966" s="1504"/>
      <c r="AW966" s="1504"/>
      <c r="AX966" s="1504"/>
      <c r="AY966" s="1504"/>
      <c r="BB966" s="1531"/>
      <c r="BC966" s="153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67"/>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04"/>
      <c r="AN967" s="1504"/>
      <c r="AO967" s="1504"/>
      <c r="AP967" s="1504"/>
      <c r="AQ967" s="1504"/>
      <c r="AR967" s="1504"/>
      <c r="AS967" s="1504"/>
      <c r="AT967" s="1504"/>
      <c r="AU967" s="1504"/>
      <c r="AV967" s="1504"/>
      <c r="AW967" s="1504"/>
      <c r="AX967" s="1504"/>
      <c r="AY967" s="1504"/>
      <c r="BB967" s="1531"/>
      <c r="BC967" s="153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67"/>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47"/>
      <c r="D968" s="2030" t="s">
        <v>675</v>
      </c>
      <c r="E968" s="2031"/>
      <c r="F968" s="2031"/>
      <c r="G968" s="2031"/>
      <c r="H968" s="2031"/>
      <c r="I968" s="2031"/>
      <c r="J968" s="2031"/>
      <c r="K968" s="2031"/>
      <c r="L968" s="2031"/>
      <c r="M968" s="2031"/>
      <c r="N968" s="2031"/>
      <c r="O968" s="2031"/>
      <c r="P968" s="2031"/>
      <c r="Q968" s="2032"/>
      <c r="R968" s="2030" t="s">
        <v>676</v>
      </c>
      <c r="S968" s="2031"/>
      <c r="T968" s="2031"/>
      <c r="U968" s="2031"/>
      <c r="V968" s="2031"/>
      <c r="W968" s="2031"/>
      <c r="X968" s="2031"/>
      <c r="Y968" s="2031"/>
      <c r="Z968" s="2031"/>
      <c r="AA968" s="2032"/>
      <c r="AB968" s="2030" t="s">
        <v>677</v>
      </c>
      <c r="AC968" s="2031"/>
      <c r="AD968" s="2031"/>
      <c r="AE968" s="2031"/>
      <c r="AF968" s="2031"/>
      <c r="AG968" s="2031"/>
      <c r="AH968" s="2031"/>
      <c r="AI968" s="2032"/>
      <c r="AJ968" s="2030" t="s">
        <v>678</v>
      </c>
      <c r="AK968" s="2031"/>
      <c r="AL968" s="2031"/>
      <c r="AM968" s="2031"/>
      <c r="AN968" s="2031"/>
      <c r="AO968" s="2031"/>
      <c r="AP968" s="2031"/>
      <c r="AQ968" s="2032"/>
      <c r="AR968" s="1504"/>
      <c r="AS968" s="1504"/>
      <c r="AT968" s="1504"/>
      <c r="AU968" s="1504"/>
      <c r="AV968" s="1504"/>
      <c r="AW968" s="1504"/>
      <c r="AX968" s="1504"/>
      <c r="AY968" s="150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67"/>
      <c r="CS968" s="107"/>
      <c r="CT968" s="107"/>
      <c r="CU968" s="107"/>
      <c r="CV968" s="107"/>
      <c r="CW968" s="107"/>
      <c r="CX968" s="107"/>
      <c r="CY968" s="107"/>
      <c r="CZ968" s="107"/>
      <c r="DA968" s="107"/>
      <c r="DB968" s="107"/>
      <c r="DC968" s="107"/>
      <c r="DD968" s="107"/>
      <c r="DE968" s="107"/>
      <c r="DF968" s="107"/>
    </row>
    <row r="969" spans="1:110" s="51" customFormat="1" ht="12.75">
      <c r="B969" s="110"/>
      <c r="C969" s="1548"/>
      <c r="D969" s="2044" t="s">
        <v>670</v>
      </c>
      <c r="E969" s="2045"/>
      <c r="F969" s="2045"/>
      <c r="G969" s="2045"/>
      <c r="H969" s="2045"/>
      <c r="I969" s="2045"/>
      <c r="J969" s="2045"/>
      <c r="K969" s="2045"/>
      <c r="L969" s="2045"/>
      <c r="M969" s="2045"/>
      <c r="N969" s="2045"/>
      <c r="O969" s="2045"/>
      <c r="P969" s="2045"/>
      <c r="Q969" s="2046"/>
      <c r="R969" s="2043">
        <f>IF(ISNA(IF($BN$799="4%",(INDEX($BP$809:$BT$866,MATCH($CB$799,$BO$809:$BO$866,0),MATCH(D969,$BP$808:$BT$808,0))),(INDEX($BW$809:$CA$866,MATCH($CB$799,$BV$809:$BV$866,0),MATCH(D969,$BW$808:$CA$808,0))))),0,IF($BN$799="4%",(INDEX($BP$809:$BT$866,MATCH($CB$799,$BO$809:$BO$866,0),MATCH(D969,$BP$808:$BT$808,0))),(INDEX($BW$809:$CA$866,MATCH($CB$799,$BV$809:$BV$866,0),MATCH(D969,$BW$808:$CA$808,0)))))</f>
        <v>303706</v>
      </c>
      <c r="S969" s="2043"/>
      <c r="T969" s="2043"/>
      <c r="U969" s="2043"/>
      <c r="V969" s="2043"/>
      <c r="W969" s="2043"/>
      <c r="X969" s="2043"/>
      <c r="Y969" s="2043"/>
      <c r="Z969" s="2043"/>
      <c r="AA969" s="2043"/>
      <c r="AB969" s="2033">
        <f>BN663</f>
        <v>0</v>
      </c>
      <c r="AC969" s="2034"/>
      <c r="AD969" s="2034"/>
      <c r="AE969" s="2034"/>
      <c r="AF969" s="2034"/>
      <c r="AG969" s="2034"/>
      <c r="AH969" s="2034"/>
      <c r="AI969" s="2035"/>
      <c r="AJ969" s="2047">
        <f>IF(ISERROR((R969*AB969)),0,(R969*AB969))</f>
        <v>0</v>
      </c>
      <c r="AK969" s="2048"/>
      <c r="AL969" s="2048"/>
      <c r="AM969" s="2048"/>
      <c r="AN969" s="2048"/>
      <c r="AO969" s="2048"/>
      <c r="AP969" s="2048"/>
      <c r="AQ969" s="2049"/>
      <c r="AR969" s="1504"/>
      <c r="AS969" s="1504"/>
      <c r="AT969" s="1504"/>
      <c r="AU969" s="1504"/>
      <c r="AV969" s="1504"/>
      <c r="AW969" s="1504"/>
      <c r="AX969" s="1504"/>
      <c r="AY969" s="150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67"/>
      <c r="CS969" s="107"/>
      <c r="CT969" s="107"/>
      <c r="CU969" s="107"/>
      <c r="CV969" s="107"/>
      <c r="CW969" s="107"/>
      <c r="CX969" s="107"/>
      <c r="CY969" s="107"/>
      <c r="CZ969" s="107"/>
      <c r="DA969" s="107"/>
      <c r="DB969" s="107"/>
      <c r="DC969" s="107"/>
      <c r="DD969" s="107"/>
      <c r="DE969" s="107"/>
      <c r="DF969" s="107"/>
    </row>
    <row r="970" spans="1:110" s="51" customFormat="1" ht="12.75">
      <c r="B970" s="110"/>
      <c r="C970" s="1549"/>
      <c r="D970" s="2044" t="s">
        <v>336</v>
      </c>
      <c r="E970" s="2045"/>
      <c r="F970" s="2045"/>
      <c r="G970" s="2045"/>
      <c r="H970" s="2045"/>
      <c r="I970" s="2045"/>
      <c r="J970" s="2045"/>
      <c r="K970" s="2045"/>
      <c r="L970" s="2045"/>
      <c r="M970" s="2045"/>
      <c r="N970" s="2045"/>
      <c r="O970" s="2045"/>
      <c r="P970" s="2045"/>
      <c r="Q970" s="2046"/>
      <c r="R970" s="2043">
        <f>IF(ISNA(IF($BN$799="4%",(INDEX($BP$809:$BT$866,MATCH($CB$799,$BO$809:$BO$866,0),MATCH(D970,$BP$808:$BT$808,0))),(INDEX($BW$809:$CA$866,MATCH($CB$799,$BV$809:$BV$866,0),MATCH(D970,$BW$808:$CA$808,0))))),0,IF($BN$799="4%",(INDEX($BP$809:$BT$866,MATCH($CB$799,$BO$809:$BO$866,0),MATCH(D970,$BP$808:$BT$808,0))),(INDEX($BW$809:$CA$866,MATCH($CB$799,$BV$809:$BV$866,0),MATCH(D970,$BW$808:$CA$808,0)))))</f>
        <v>350170</v>
      </c>
      <c r="S970" s="2043"/>
      <c r="T970" s="2043"/>
      <c r="U970" s="2043"/>
      <c r="V970" s="2043"/>
      <c r="W970" s="2043"/>
      <c r="X970" s="2043"/>
      <c r="Y970" s="2043"/>
      <c r="Z970" s="2043"/>
      <c r="AA970" s="2043"/>
      <c r="AB970" s="2033">
        <f>BS663</f>
        <v>4</v>
      </c>
      <c r="AC970" s="2034"/>
      <c r="AD970" s="2034"/>
      <c r="AE970" s="2034"/>
      <c r="AF970" s="2034"/>
      <c r="AG970" s="2034"/>
      <c r="AH970" s="2034"/>
      <c r="AI970" s="2035"/>
      <c r="AJ970" s="2047">
        <f>IF(ISERROR((R970*AB970)),0,(R970*AB970))</f>
        <v>1400680</v>
      </c>
      <c r="AK970" s="2048"/>
      <c r="AL970" s="2048"/>
      <c r="AM970" s="2048"/>
      <c r="AN970" s="2048"/>
      <c r="AO970" s="2048"/>
      <c r="AP970" s="2048"/>
      <c r="AQ970" s="2049"/>
      <c r="AR970" s="1504"/>
      <c r="AS970" s="1504"/>
      <c r="AT970" s="1504"/>
      <c r="AU970" s="1504"/>
      <c r="AV970" s="1504"/>
      <c r="AW970" s="1504"/>
      <c r="AX970" s="1504"/>
      <c r="AY970" s="150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67"/>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49"/>
      <c r="D971" s="2044" t="s">
        <v>168</v>
      </c>
      <c r="E971" s="2045"/>
      <c r="F971" s="2045"/>
      <c r="G971" s="2045"/>
      <c r="H971" s="2045"/>
      <c r="I971" s="2045"/>
      <c r="J971" s="2045"/>
      <c r="K971" s="2045"/>
      <c r="L971" s="2045"/>
      <c r="M971" s="2045"/>
      <c r="N971" s="2045"/>
      <c r="O971" s="2045"/>
      <c r="P971" s="2045"/>
      <c r="Q971" s="2046"/>
      <c r="R971" s="2043">
        <f>IF(ISNA(IF($BN$799="4%",(INDEX($BP$809:$BT$866,MATCH($CB$799,$BO$809:$BO$866,0),MATCH(D971,$BP$808:$BT$808,0))),(INDEX($BW$809:$CA$866,MATCH($CB$799,$BV$809:$BV$866,0),MATCH(D971,$BW$808:$CA$808,0))))),0,IF($BN$799="4%",(INDEX($BP$809:$BT$866,MATCH($CB$799,$BO$809:$BO$866,0),MATCH(D971,$BP$808:$BT$808,0))),(INDEX($BW$809:$CA$866,MATCH($CB$799,$BV$809:$BV$866,0),MATCH(D971,$BW$808:$CA$808,0)))))</f>
        <v>422400</v>
      </c>
      <c r="S971" s="2043"/>
      <c r="T971" s="2043"/>
      <c r="U971" s="2043"/>
      <c r="V971" s="2043"/>
      <c r="W971" s="2043"/>
      <c r="X971" s="2043"/>
      <c r="Y971" s="2043"/>
      <c r="Z971" s="2043"/>
      <c r="AA971" s="2043"/>
      <c r="AB971" s="2033">
        <f>BX663</f>
        <v>30</v>
      </c>
      <c r="AC971" s="2034"/>
      <c r="AD971" s="2034"/>
      <c r="AE971" s="2034"/>
      <c r="AF971" s="2034"/>
      <c r="AG971" s="2034"/>
      <c r="AH971" s="2034"/>
      <c r="AI971" s="2035"/>
      <c r="AJ971" s="2047">
        <f>IF(ISERROR((R971*AB971)),0,(R971*AB971))</f>
        <v>12672000</v>
      </c>
      <c r="AK971" s="2048"/>
      <c r="AL971" s="2048"/>
      <c r="AM971" s="2048"/>
      <c r="AN971" s="2048"/>
      <c r="AO971" s="2048"/>
      <c r="AP971" s="2048"/>
      <c r="AQ971" s="2049"/>
      <c r="AR971" s="1504"/>
      <c r="AS971" s="1504"/>
      <c r="AT971" s="1504"/>
      <c r="AU971" s="1504"/>
      <c r="AV971" s="1504"/>
      <c r="AW971" s="1504"/>
      <c r="AX971" s="1504"/>
      <c r="AY971" s="150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67"/>
      <c r="CS971" s="107"/>
      <c r="CT971" s="107"/>
      <c r="CU971" s="107"/>
      <c r="CV971" s="107"/>
      <c r="CW971" s="107"/>
      <c r="CX971" s="107"/>
      <c r="CY971" s="107"/>
      <c r="CZ971" s="107"/>
      <c r="DA971" s="107"/>
      <c r="DB971" s="107"/>
      <c r="DC971" s="107"/>
      <c r="DD971" s="107"/>
      <c r="DE971" s="107"/>
      <c r="DF971" s="107"/>
    </row>
    <row r="972" spans="1:110" s="51" customFormat="1" ht="12.75">
      <c r="B972" s="110"/>
      <c r="C972" s="1549"/>
      <c r="D972" s="2044" t="s">
        <v>169</v>
      </c>
      <c r="E972" s="2045"/>
      <c r="F972" s="2045"/>
      <c r="G972" s="2045"/>
      <c r="H972" s="2045"/>
      <c r="I972" s="2045"/>
      <c r="J972" s="2045"/>
      <c r="K972" s="2045"/>
      <c r="L972" s="2045"/>
      <c r="M972" s="2045"/>
      <c r="N972" s="2045"/>
      <c r="O972" s="2045"/>
      <c r="P972" s="2045"/>
      <c r="Q972" s="2046"/>
      <c r="R972" s="2043">
        <f>IF(ISNA(IF($BN$799="4%",(INDEX($BP$809:$BT$866,MATCH($CB$799,$BO$809:$BO$866,0),MATCH(D972,$BP$808:$BT$808,0))),(INDEX($BW$809:$CA$866,MATCH($CB$799,$BV$809:$BV$866,0),MATCH(D972,$BW$808:$CA$808,0))))),0,IF($BN$799="4%",(INDEX($BP$809:$BT$866,MATCH($CB$799,$BO$809:$BO$866,0),MATCH(D972,$BP$808:$BT$808,0))),(INDEX($BW$809:$CA$866,MATCH($CB$799,$BV$809:$BV$866,0),MATCH(D972,$BW$808:$CA$808,0)))))</f>
        <v>540672</v>
      </c>
      <c r="S972" s="2043"/>
      <c r="T972" s="2043"/>
      <c r="U972" s="2043"/>
      <c r="V972" s="2043"/>
      <c r="W972" s="2043"/>
      <c r="X972" s="2043"/>
      <c r="Y972" s="2043"/>
      <c r="Z972" s="2043"/>
      <c r="AA972" s="2043"/>
      <c r="AB972" s="2033">
        <f>CC663</f>
        <v>32</v>
      </c>
      <c r="AC972" s="2034"/>
      <c r="AD972" s="2034"/>
      <c r="AE972" s="2034"/>
      <c r="AF972" s="2034"/>
      <c r="AG972" s="2034"/>
      <c r="AH972" s="2034"/>
      <c r="AI972" s="2035"/>
      <c r="AJ972" s="2047">
        <f>IF(ISERROR((R972*AB972)),0,(R972*AB972))</f>
        <v>17301504</v>
      </c>
      <c r="AK972" s="2048"/>
      <c r="AL972" s="2048"/>
      <c r="AM972" s="2048"/>
      <c r="AN972" s="2048"/>
      <c r="AO972" s="2048"/>
      <c r="AP972" s="2048"/>
      <c r="AQ972" s="2049"/>
      <c r="AR972" s="1504"/>
      <c r="AS972" s="1504"/>
      <c r="AT972" s="1504"/>
      <c r="AU972" s="1504"/>
      <c r="AV972" s="1504"/>
      <c r="AW972" s="1504"/>
      <c r="AX972" s="1504"/>
      <c r="AY972" s="150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67"/>
      <c r="CS972" s="107"/>
      <c r="CT972" s="107"/>
      <c r="CU972" s="107"/>
      <c r="CV972" s="107"/>
      <c r="CW972" s="107"/>
      <c r="CX972" s="107"/>
      <c r="CY972" s="107"/>
      <c r="CZ972" s="107"/>
      <c r="DA972" s="107"/>
      <c r="DB972" s="107"/>
      <c r="DC972" s="107"/>
      <c r="DD972" s="107"/>
      <c r="DE972" s="107"/>
      <c r="DF972" s="107"/>
    </row>
    <row r="973" spans="1:110" ht="12.75" customHeight="1">
      <c r="A973" s="51"/>
      <c r="B973" s="79"/>
      <c r="C973" s="1550"/>
      <c r="D973" s="2044" t="s">
        <v>495</v>
      </c>
      <c r="E973" s="2045"/>
      <c r="F973" s="2045"/>
      <c r="G973" s="2045"/>
      <c r="H973" s="2045"/>
      <c r="I973" s="2045"/>
      <c r="J973" s="2045"/>
      <c r="K973" s="2045"/>
      <c r="L973" s="2045"/>
      <c r="M973" s="2045"/>
      <c r="N973" s="2045"/>
      <c r="O973" s="2045"/>
      <c r="P973" s="2045"/>
      <c r="Q973" s="2046"/>
      <c r="R973" s="2043">
        <f>IF(ISNA(IF($BN$799="4%",(INDEX($BP$809:$BT$866,MATCH($CB$799,$BO$809:$BO$866,0),MATCH(D973,$BP$808:$BT$808,0))),(INDEX($BW$809:$CA$866,MATCH($CB$799,$BV$809:$BV$866,0),MATCH(D973,$BW$808:$CA$808,0))))),0,IF($BN$799="4%",(INDEX($BP$809:$BT$866,MATCH($CB$799,$BO$809:$BO$866,0),MATCH(D973,$BP$808:$BT$808,0))),(INDEX($BW$809:$CA$866,MATCH($CB$799,$BV$809:$BV$866,0),MATCH(D973,$BW$808:$CA$808,0)))))</f>
        <v>602342</v>
      </c>
      <c r="S973" s="2043"/>
      <c r="T973" s="2043"/>
      <c r="U973" s="2043"/>
      <c r="V973" s="2043"/>
      <c r="W973" s="2043"/>
      <c r="X973" s="2043"/>
      <c r="Y973" s="2043"/>
      <c r="Z973" s="2043"/>
      <c r="AA973" s="2043"/>
      <c r="AB973" s="2033">
        <f>CM663+CH663</f>
        <v>0</v>
      </c>
      <c r="AC973" s="2034"/>
      <c r="AD973" s="2034"/>
      <c r="AE973" s="2034"/>
      <c r="AF973" s="2034"/>
      <c r="AG973" s="2034"/>
      <c r="AH973" s="2034"/>
      <c r="AI973" s="2035"/>
      <c r="AJ973" s="2047">
        <f>IF(ISERROR((R973*AB973)),0,(R973*AB973))</f>
        <v>0</v>
      </c>
      <c r="AK973" s="2048"/>
      <c r="AL973" s="2048"/>
      <c r="AM973" s="2048"/>
      <c r="AN973" s="2048"/>
      <c r="AO973" s="2048"/>
      <c r="AP973" s="2048"/>
      <c r="AQ973" s="2049"/>
      <c r="AR973" s="1504"/>
      <c r="AS973" s="1504"/>
      <c r="AT973" s="1504"/>
      <c r="AU973" s="1504"/>
      <c r="AV973" s="1504"/>
      <c r="AW973" s="1504"/>
      <c r="AX973" s="1504"/>
      <c r="AY973" s="150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27"/>
      <c r="CS973" s="61"/>
      <c r="CT973" s="61"/>
      <c r="CU973" s="61"/>
      <c r="CV973" s="61"/>
      <c r="CW973" s="61"/>
      <c r="CX973" s="61"/>
      <c r="CY973" s="61"/>
      <c r="CZ973" s="61"/>
      <c r="DA973" s="61"/>
      <c r="DB973" s="61"/>
      <c r="DC973" s="61"/>
      <c r="DD973" s="61"/>
      <c r="DE973" s="61"/>
      <c r="DF973" s="61"/>
    </row>
    <row r="974" spans="1:110" ht="12.75" customHeight="1">
      <c r="A974" s="51"/>
      <c r="B974" s="1976" t="s">
        <v>853</v>
      </c>
      <c r="C974" s="1977"/>
      <c r="D974" s="1977"/>
      <c r="E974" s="1977"/>
      <c r="F974" s="1977"/>
      <c r="G974" s="1977"/>
      <c r="H974" s="1977"/>
      <c r="I974" s="1977"/>
      <c r="J974" s="1977"/>
      <c r="K974" s="1977"/>
      <c r="L974" s="1977"/>
      <c r="M974" s="1977"/>
      <c r="N974" s="1977"/>
      <c r="O974" s="1977"/>
      <c r="P974" s="1977"/>
      <c r="Q974" s="1977"/>
      <c r="R974" s="1977"/>
      <c r="S974" s="1977"/>
      <c r="T974" s="1977"/>
      <c r="U974" s="1977"/>
      <c r="V974" s="1977"/>
      <c r="W974" s="1977"/>
      <c r="X974" s="1977"/>
      <c r="Y974" s="1977"/>
      <c r="Z974" s="1977"/>
      <c r="AA974" s="1978"/>
      <c r="AB974" s="2033">
        <f>SUM(AB969:AI973)</f>
        <v>66</v>
      </c>
      <c r="AC974" s="2034"/>
      <c r="AD974" s="2034"/>
      <c r="AE974" s="2034"/>
      <c r="AF974" s="2034"/>
      <c r="AG974" s="2034"/>
      <c r="AH974" s="2034"/>
      <c r="AI974" s="2035"/>
      <c r="AJ974" s="2047"/>
      <c r="AK974" s="2048"/>
      <c r="AL974" s="2048"/>
      <c r="AM974" s="2048"/>
      <c r="AN974" s="2048"/>
      <c r="AO974" s="2048"/>
      <c r="AP974" s="2048"/>
      <c r="AQ974" s="2049"/>
      <c r="AR974" s="1504"/>
      <c r="AS974" s="1504"/>
      <c r="AT974" s="1504"/>
      <c r="AU974" s="1504"/>
      <c r="AV974" s="1504"/>
      <c r="AW974" s="1504"/>
      <c r="AX974" s="1504"/>
      <c r="AY974" s="150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27"/>
      <c r="CS974" s="61"/>
      <c r="CT974" s="61"/>
      <c r="CU974" s="61"/>
      <c r="CV974" s="61"/>
      <c r="CW974" s="61"/>
      <c r="CX974" s="61"/>
      <c r="CY974" s="61"/>
      <c r="CZ974" s="61"/>
      <c r="DA974" s="61"/>
      <c r="DB974" s="61"/>
      <c r="DC974" s="61"/>
      <c r="DD974" s="61"/>
      <c r="DE974" s="61"/>
      <c r="DF974" s="61"/>
    </row>
    <row r="975" spans="1:110" ht="12.4" customHeight="1">
      <c r="A975" s="51"/>
      <c r="B975" s="2081" t="s">
        <v>547</v>
      </c>
      <c r="C975" s="2082"/>
      <c r="D975" s="2082"/>
      <c r="E975" s="2082"/>
      <c r="F975" s="2082"/>
      <c r="G975" s="2082"/>
      <c r="H975" s="2082"/>
      <c r="I975" s="2082"/>
      <c r="J975" s="2082"/>
      <c r="K975" s="2082"/>
      <c r="L975" s="2082"/>
      <c r="M975" s="2082"/>
      <c r="N975" s="2082"/>
      <c r="O975" s="2082"/>
      <c r="P975" s="2082"/>
      <c r="Q975" s="2082"/>
      <c r="R975" s="2082"/>
      <c r="S975" s="2082"/>
      <c r="T975" s="2082"/>
      <c r="U975" s="2082"/>
      <c r="V975" s="2082"/>
      <c r="W975" s="2082"/>
      <c r="X975" s="2082"/>
      <c r="Y975" s="2082"/>
      <c r="Z975" s="2082"/>
      <c r="AA975" s="2082"/>
      <c r="AB975" s="2082"/>
      <c r="AC975" s="2082"/>
      <c r="AD975" s="2082"/>
      <c r="AE975" s="2082"/>
      <c r="AF975" s="2082"/>
      <c r="AG975" s="2082"/>
      <c r="AH975" s="2082"/>
      <c r="AI975" s="2083"/>
      <c r="AJ975" s="2047">
        <f>SUM(AJ969:AQ973)</f>
        <v>31374184</v>
      </c>
      <c r="AK975" s="2048"/>
      <c r="AL975" s="2048"/>
      <c r="AM975" s="2048"/>
      <c r="AN975" s="2048"/>
      <c r="AO975" s="2048"/>
      <c r="AP975" s="2048"/>
      <c r="AQ975" s="2049"/>
      <c r="AR975" s="1504"/>
      <c r="AS975" s="1504"/>
      <c r="AT975" s="1504"/>
      <c r="AU975" s="1504"/>
      <c r="AV975" s="1504"/>
      <c r="AW975" s="1504"/>
      <c r="AX975" s="1504"/>
      <c r="AY975" s="150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27"/>
      <c r="CS975" s="61"/>
      <c r="CT975" s="61"/>
      <c r="CU975" s="61"/>
      <c r="CV975" s="61"/>
      <c r="CW975" s="61"/>
      <c r="CX975" s="61"/>
      <c r="CY975" s="61"/>
      <c r="CZ975" s="61"/>
      <c r="DA975" s="61"/>
      <c r="DB975" s="61"/>
      <c r="DC975" s="61"/>
      <c r="DD975" s="61"/>
      <c r="DE975" s="61"/>
      <c r="DF975" s="61"/>
    </row>
    <row r="976" spans="1:110" ht="12.75" customHeight="1">
      <c r="A976" s="51"/>
      <c r="B976" s="1973"/>
      <c r="C976" s="1974"/>
      <c r="D976" s="1974"/>
      <c r="E976" s="1974"/>
      <c r="F976" s="1974"/>
      <c r="G976" s="1974"/>
      <c r="H976" s="1974"/>
      <c r="I976" s="1974"/>
      <c r="J976" s="1974"/>
      <c r="K976" s="1974"/>
      <c r="L976" s="1974"/>
      <c r="M976" s="1974"/>
      <c r="N976" s="1974"/>
      <c r="O976" s="1974"/>
      <c r="P976" s="1974"/>
      <c r="Q976" s="1974"/>
      <c r="R976" s="1974"/>
      <c r="S976" s="1974"/>
      <c r="T976" s="1974"/>
      <c r="U976" s="1974"/>
      <c r="V976" s="1974"/>
      <c r="W976" s="1974"/>
      <c r="X976" s="1974"/>
      <c r="Y976" s="1974"/>
      <c r="Z976" s="1974"/>
      <c r="AA976" s="1974"/>
      <c r="AB976" s="1974"/>
      <c r="AC976" s="1974"/>
      <c r="AD976" s="1974"/>
      <c r="AE976" s="1975"/>
      <c r="AF976" s="2076" t="s">
        <v>705</v>
      </c>
      <c r="AG976" s="2077"/>
      <c r="AH976" s="2077"/>
      <c r="AI976" s="2078"/>
      <c r="AJ976" s="1973"/>
      <c r="AK976" s="1974"/>
      <c r="AL976" s="1974"/>
      <c r="AM976" s="1974"/>
      <c r="AN976" s="1974"/>
      <c r="AO976" s="1974"/>
      <c r="AP976" s="1974"/>
      <c r="AQ976" s="1975"/>
      <c r="AR976" s="1504"/>
      <c r="AS976" s="1504"/>
      <c r="AT976" s="1504"/>
      <c r="AU976" s="1504"/>
      <c r="AV976" s="1504"/>
      <c r="AW976" s="1504"/>
      <c r="AX976" s="1504"/>
      <c r="AY976" s="150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27"/>
      <c r="CS976" s="61"/>
      <c r="CT976" s="61"/>
      <c r="CU976" s="61"/>
      <c r="CV976" s="61"/>
      <c r="CW976" s="61"/>
      <c r="CX976" s="61"/>
      <c r="CY976" s="61"/>
      <c r="CZ976" s="61"/>
      <c r="DA976" s="61"/>
      <c r="DB976" s="61"/>
      <c r="DC976" s="61"/>
      <c r="DD976" s="61"/>
      <c r="DE976" s="61"/>
      <c r="DF976" s="61"/>
    </row>
    <row r="977" spans="1:110" ht="12.75" customHeight="1">
      <c r="A977" s="51"/>
      <c r="B977" s="110"/>
      <c r="C977" s="1546" t="s">
        <v>707</v>
      </c>
      <c r="D977" s="1964" t="s">
        <v>1439</v>
      </c>
      <c r="E977" s="1965"/>
      <c r="F977" s="1965"/>
      <c r="G977" s="1965"/>
      <c r="H977" s="1965"/>
      <c r="I977" s="1965"/>
      <c r="J977" s="1965"/>
      <c r="K977" s="1965"/>
      <c r="L977" s="1965"/>
      <c r="M977" s="1965"/>
      <c r="N977" s="1965"/>
      <c r="O977" s="1965"/>
      <c r="P977" s="1965"/>
      <c r="Q977" s="1965"/>
      <c r="R977" s="1965"/>
      <c r="S977" s="1965"/>
      <c r="T977" s="1965"/>
      <c r="U977" s="1965"/>
      <c r="V977" s="1965"/>
      <c r="W977" s="1965"/>
      <c r="X977" s="1965"/>
      <c r="Y977" s="1965"/>
      <c r="Z977" s="1965"/>
      <c r="AA977" s="1965"/>
      <c r="AB977" s="1965"/>
      <c r="AC977" s="1965"/>
      <c r="AD977" s="1965"/>
      <c r="AE977" s="1966"/>
      <c r="AF977" s="117"/>
      <c r="AG977" s="2079" t="s">
        <v>580</v>
      </c>
      <c r="AH977" s="2080"/>
      <c r="AI977" s="125"/>
      <c r="AJ977" s="1991">
        <f>ROUND(IF(AND(AG977="yes",D979&gt;0),AJ975*0.2,0),0)</f>
        <v>6274837</v>
      </c>
      <c r="AK977" s="1992"/>
      <c r="AL977" s="1992"/>
      <c r="AM977" s="1992"/>
      <c r="AN977" s="1992"/>
      <c r="AO977" s="1992"/>
      <c r="AP977" s="1992"/>
      <c r="AQ977" s="1993"/>
      <c r="AR977" s="1504"/>
      <c r="AS977" s="1504"/>
      <c r="AT977" s="1504"/>
      <c r="AU977" s="1504"/>
      <c r="AV977" s="1504"/>
      <c r="AW977" s="1504"/>
      <c r="AX977" s="1504"/>
      <c r="AY977" s="150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27"/>
      <c r="CS977" s="61"/>
      <c r="CT977" s="61"/>
      <c r="CU977" s="61"/>
      <c r="CV977" s="61"/>
      <c r="CW977" s="61"/>
      <c r="CX977" s="61"/>
      <c r="CY977" s="61"/>
      <c r="CZ977" s="61"/>
      <c r="DA977" s="61"/>
      <c r="DB977" s="61"/>
      <c r="DC977" s="61"/>
      <c r="DD977" s="61"/>
      <c r="DE977" s="61"/>
      <c r="DF977" s="61"/>
    </row>
    <row r="978" spans="1:110" ht="66" customHeight="1">
      <c r="A978" s="51"/>
      <c r="B978" s="413"/>
      <c r="C978" s="412"/>
      <c r="D978" s="1979" t="s">
        <v>1440</v>
      </c>
      <c r="E978" s="1980"/>
      <c r="F978" s="1980"/>
      <c r="G978" s="1980"/>
      <c r="H978" s="1980"/>
      <c r="I978" s="1980"/>
      <c r="J978" s="1980"/>
      <c r="K978" s="1980"/>
      <c r="L978" s="1980"/>
      <c r="M978" s="1980"/>
      <c r="N978" s="1980"/>
      <c r="O978" s="1980"/>
      <c r="P978" s="1980"/>
      <c r="Q978" s="1980"/>
      <c r="R978" s="1980"/>
      <c r="S978" s="1980"/>
      <c r="T978" s="1980"/>
      <c r="U978" s="1980"/>
      <c r="V978" s="1980"/>
      <c r="W978" s="1980"/>
      <c r="X978" s="1980"/>
      <c r="Y978" s="1980"/>
      <c r="Z978" s="1980"/>
      <c r="AA978" s="1980"/>
      <c r="AB978" s="1980"/>
      <c r="AC978" s="1980"/>
      <c r="AD978" s="1980"/>
      <c r="AE978" s="1981"/>
      <c r="AF978" s="110"/>
      <c r="AG978" s="112"/>
      <c r="AH978" s="112"/>
      <c r="AI978" s="121"/>
      <c r="AJ978" s="1994"/>
      <c r="AK978" s="1995"/>
      <c r="AL978" s="1995"/>
      <c r="AM978" s="1995"/>
      <c r="AN978" s="1995"/>
      <c r="AO978" s="1995"/>
      <c r="AP978" s="1995"/>
      <c r="AQ978" s="1996"/>
      <c r="AR978" s="1504"/>
      <c r="AS978" s="1504"/>
      <c r="AT978" s="1504"/>
      <c r="AU978" s="1504"/>
      <c r="AV978" s="1504"/>
      <c r="AW978" s="1504"/>
      <c r="AX978" s="1504"/>
      <c r="AY978" s="150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27"/>
      <c r="CS978" s="61"/>
      <c r="CT978" s="61"/>
      <c r="CU978" s="61"/>
      <c r="CV978" s="61"/>
      <c r="CW978" s="61"/>
      <c r="CX978" s="61"/>
      <c r="CY978" s="61"/>
      <c r="CZ978" s="61"/>
      <c r="DA978" s="61"/>
      <c r="DB978" s="61"/>
      <c r="DC978" s="61"/>
      <c r="DD978" s="61"/>
      <c r="DE978" s="61"/>
      <c r="DF978" s="61"/>
    </row>
    <row r="979" spans="1:110" ht="12.4" customHeight="1">
      <c r="A979" s="51"/>
      <c r="B979" s="413"/>
      <c r="C979" s="412"/>
      <c r="D979" s="1982" t="s">
        <v>2571</v>
      </c>
      <c r="E979" s="1983"/>
      <c r="F979" s="1983"/>
      <c r="G979" s="1983"/>
      <c r="H979" s="1983"/>
      <c r="I979" s="1983"/>
      <c r="J979" s="1983"/>
      <c r="K979" s="1983"/>
      <c r="L979" s="1983"/>
      <c r="M979" s="1983"/>
      <c r="N979" s="1983"/>
      <c r="O979" s="1983"/>
      <c r="P979" s="1983"/>
      <c r="Q979" s="1983"/>
      <c r="R979" s="1983"/>
      <c r="S979" s="1983"/>
      <c r="T979" s="1983"/>
      <c r="U979" s="1983"/>
      <c r="V979" s="1983"/>
      <c r="W979" s="1983"/>
      <c r="X979" s="1983"/>
      <c r="Y979" s="1983"/>
      <c r="Z979" s="1983"/>
      <c r="AA979" s="1983"/>
      <c r="AB979" s="1983"/>
      <c r="AC979" s="1983"/>
      <c r="AD979" s="1983"/>
      <c r="AE979" s="1984"/>
      <c r="AF979" s="115"/>
      <c r="AG979" s="11"/>
      <c r="AH979" s="11"/>
      <c r="AI979" s="116"/>
      <c r="AJ979" s="1997"/>
      <c r="AK979" s="1998"/>
      <c r="AL979" s="1998"/>
      <c r="AM979" s="1998"/>
      <c r="AN979" s="1998"/>
      <c r="AO979" s="1998"/>
      <c r="AP979" s="1998"/>
      <c r="AQ979" s="1999"/>
      <c r="AR979" s="1504"/>
      <c r="AS979" s="1504"/>
      <c r="AT979" s="1504"/>
      <c r="AU979" s="1504"/>
      <c r="AV979" s="1504"/>
      <c r="AW979" s="1504"/>
      <c r="AX979" s="1504"/>
      <c r="AY979" s="150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27"/>
      <c r="CS979" s="61"/>
      <c r="CT979" s="61"/>
      <c r="CU979" s="61"/>
      <c r="CV979" s="61"/>
      <c r="CW979" s="61"/>
      <c r="CX979" s="61"/>
      <c r="CY979" s="61"/>
      <c r="CZ979" s="61"/>
      <c r="DA979" s="61"/>
      <c r="DB979" s="61"/>
      <c r="DC979" s="61"/>
      <c r="DD979" s="61"/>
      <c r="DE979" s="61"/>
      <c r="DF979" s="61"/>
    </row>
    <row r="980" spans="1:110" ht="12.75" customHeight="1">
      <c r="A980" s="51"/>
      <c r="B980" s="411"/>
      <c r="C980" s="502"/>
      <c r="D980" s="1985" t="s">
        <v>1542</v>
      </c>
      <c r="E980" s="1986"/>
      <c r="F980" s="1986"/>
      <c r="G980" s="1986"/>
      <c r="H980" s="1986"/>
      <c r="I980" s="1986"/>
      <c r="J980" s="1986"/>
      <c r="K980" s="1986"/>
      <c r="L980" s="1986"/>
      <c r="M980" s="1986"/>
      <c r="N980" s="1986"/>
      <c r="O980" s="1986"/>
      <c r="P980" s="1986"/>
      <c r="Q980" s="1986"/>
      <c r="R980" s="1986"/>
      <c r="S980" s="1986"/>
      <c r="T980" s="1986"/>
      <c r="U980" s="1986"/>
      <c r="V980" s="1986"/>
      <c r="W980" s="1986"/>
      <c r="X980" s="1986"/>
      <c r="Y980" s="1986"/>
      <c r="Z980" s="1986"/>
      <c r="AA980" s="1986"/>
      <c r="AB980" s="1986"/>
      <c r="AC980" s="1986"/>
      <c r="AD980" s="1986"/>
      <c r="AE980" s="1987"/>
      <c r="AF980" s="117"/>
      <c r="AG980" s="2041" t="s">
        <v>708</v>
      </c>
      <c r="AH980" s="2042"/>
      <c r="AI980" s="125"/>
      <c r="AJ980" s="1991">
        <f>ROUND(IF(AG980="yes",AJ975*0.05,0),0)</f>
        <v>0</v>
      </c>
      <c r="AK980" s="1992"/>
      <c r="AL980" s="1992"/>
      <c r="AM980" s="1992"/>
      <c r="AN980" s="1992"/>
      <c r="AO980" s="1992"/>
      <c r="AP980" s="1992"/>
      <c r="AQ980" s="1993"/>
      <c r="AR980" s="1504"/>
      <c r="AS980" s="1504"/>
      <c r="AT980" s="1504"/>
      <c r="AU980" s="1504"/>
      <c r="AV980" s="1504"/>
      <c r="AW980" s="1504"/>
      <c r="AX980" s="1504"/>
      <c r="AY980" s="150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27"/>
      <c r="CS980" s="61"/>
      <c r="CT980" s="61"/>
      <c r="CU980" s="61"/>
      <c r="CV980" s="61"/>
      <c r="CW980" s="61"/>
      <c r="CX980" s="61"/>
      <c r="CY980" s="61"/>
      <c r="CZ980" s="61"/>
      <c r="DA980" s="61"/>
      <c r="DB980" s="61"/>
      <c r="DC980" s="61"/>
      <c r="DD980" s="61"/>
      <c r="DE980" s="61"/>
      <c r="DF980" s="61"/>
    </row>
    <row r="981" spans="1:110" ht="12.4" customHeight="1">
      <c r="A981" s="51"/>
      <c r="B981" s="413"/>
      <c r="C981" s="120"/>
      <c r="D981" s="1979" t="s">
        <v>1540</v>
      </c>
      <c r="E981" s="1980"/>
      <c r="F981" s="1980"/>
      <c r="G981" s="1980"/>
      <c r="H981" s="1980"/>
      <c r="I981" s="1980"/>
      <c r="J981" s="1980"/>
      <c r="K981" s="1980"/>
      <c r="L981" s="1980"/>
      <c r="M981" s="1980"/>
      <c r="N981" s="1980"/>
      <c r="O981" s="1980"/>
      <c r="P981" s="1980"/>
      <c r="Q981" s="1980"/>
      <c r="R981" s="1980"/>
      <c r="S981" s="1980"/>
      <c r="T981" s="1980"/>
      <c r="U981" s="1980"/>
      <c r="V981" s="1980"/>
      <c r="W981" s="1980"/>
      <c r="X981" s="1980"/>
      <c r="Y981" s="1980"/>
      <c r="Z981" s="1980"/>
      <c r="AA981" s="1980"/>
      <c r="AB981" s="1980"/>
      <c r="AC981" s="1980"/>
      <c r="AD981" s="1980"/>
      <c r="AE981" s="1981"/>
      <c r="AF981" s="110"/>
      <c r="AG981" s="112"/>
      <c r="AH981" s="112"/>
      <c r="AI981" s="121"/>
      <c r="AJ981" s="1994"/>
      <c r="AK981" s="1995"/>
      <c r="AL981" s="1995"/>
      <c r="AM981" s="1995"/>
      <c r="AN981" s="1995"/>
      <c r="AO981" s="1995"/>
      <c r="AP981" s="1995"/>
      <c r="AQ981" s="1996"/>
      <c r="AR981" s="1504"/>
      <c r="AS981" s="1504"/>
      <c r="AT981" s="1504"/>
      <c r="AU981" s="1504"/>
      <c r="AV981" s="1504"/>
      <c r="AW981" s="1504"/>
      <c r="AX981" s="1504"/>
      <c r="AY981" s="150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27"/>
      <c r="CS981" s="61"/>
      <c r="CT981" s="61"/>
      <c r="CU981" s="61"/>
      <c r="CV981" s="61"/>
      <c r="CW981" s="61"/>
      <c r="CX981" s="61"/>
      <c r="CY981" s="61"/>
      <c r="CZ981" s="61"/>
      <c r="DA981" s="61"/>
      <c r="DB981" s="61"/>
      <c r="DC981" s="61"/>
      <c r="DD981" s="61"/>
      <c r="DE981" s="61"/>
      <c r="DF981" s="61"/>
    </row>
    <row r="982" spans="1:110" ht="12.75" customHeight="1">
      <c r="A982" s="51"/>
      <c r="B982" s="413"/>
      <c r="C982" s="120"/>
      <c r="D982" s="1979"/>
      <c r="E982" s="1980"/>
      <c r="F982" s="1980"/>
      <c r="G982" s="1980"/>
      <c r="H982" s="1980"/>
      <c r="I982" s="1980"/>
      <c r="J982" s="1980"/>
      <c r="K982" s="1980"/>
      <c r="L982" s="1980"/>
      <c r="M982" s="1980"/>
      <c r="N982" s="1980"/>
      <c r="O982" s="1980"/>
      <c r="P982" s="1980"/>
      <c r="Q982" s="1980"/>
      <c r="R982" s="1980"/>
      <c r="S982" s="1980"/>
      <c r="T982" s="1980"/>
      <c r="U982" s="1980"/>
      <c r="V982" s="1980"/>
      <c r="W982" s="1980"/>
      <c r="X982" s="1980"/>
      <c r="Y982" s="1980"/>
      <c r="Z982" s="1980"/>
      <c r="AA982" s="1980"/>
      <c r="AB982" s="1980"/>
      <c r="AC982" s="1980"/>
      <c r="AD982" s="1980"/>
      <c r="AE982" s="1981"/>
      <c r="AF982" s="110"/>
      <c r="AG982" s="112"/>
      <c r="AH982" s="112"/>
      <c r="AI982" s="121"/>
      <c r="AJ982" s="1994"/>
      <c r="AK982" s="1995"/>
      <c r="AL982" s="1995"/>
      <c r="AM982" s="1995"/>
      <c r="AN982" s="1995"/>
      <c r="AO982" s="1995"/>
      <c r="AP982" s="1995"/>
      <c r="AQ982" s="1996"/>
      <c r="AR982" s="1504"/>
      <c r="AS982" s="1504"/>
      <c r="AT982" s="1504"/>
      <c r="AU982" s="1504"/>
      <c r="AV982" s="1504"/>
      <c r="AW982" s="1504"/>
      <c r="AX982" s="1504"/>
      <c r="AY982" s="150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27"/>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1979"/>
      <c r="E983" s="1980"/>
      <c r="F983" s="1980"/>
      <c r="G983" s="1980"/>
      <c r="H983" s="1980"/>
      <c r="I983" s="1980"/>
      <c r="J983" s="1980"/>
      <c r="K983" s="1980"/>
      <c r="L983" s="1980"/>
      <c r="M983" s="1980"/>
      <c r="N983" s="1980"/>
      <c r="O983" s="1980"/>
      <c r="P983" s="1980"/>
      <c r="Q983" s="1980"/>
      <c r="R983" s="1980"/>
      <c r="S983" s="1980"/>
      <c r="T983" s="1980"/>
      <c r="U983" s="1980"/>
      <c r="V983" s="1980"/>
      <c r="W983" s="1980"/>
      <c r="X983" s="1980"/>
      <c r="Y983" s="1980"/>
      <c r="Z983" s="1980"/>
      <c r="AA983" s="1980"/>
      <c r="AB983" s="1980"/>
      <c r="AC983" s="1980"/>
      <c r="AD983" s="1980"/>
      <c r="AE983" s="1981"/>
      <c r="AF983" s="110"/>
      <c r="AG983" s="112"/>
      <c r="AH983" s="112"/>
      <c r="AI983" s="121"/>
      <c r="AJ983" s="1994"/>
      <c r="AK983" s="1995"/>
      <c r="AL983" s="1995"/>
      <c r="AM983" s="1995"/>
      <c r="AN983" s="1995"/>
      <c r="AO983" s="1995"/>
      <c r="AP983" s="1995"/>
      <c r="AQ983" s="1996"/>
      <c r="AR983" s="1504"/>
      <c r="AS983" s="1504"/>
      <c r="AT983" s="1504"/>
      <c r="AU983" s="1504"/>
      <c r="AV983" s="1504"/>
      <c r="AW983" s="1504"/>
      <c r="AX983" s="1504"/>
      <c r="AY983" s="150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27"/>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1979"/>
      <c r="E984" s="1980"/>
      <c r="F984" s="1980"/>
      <c r="G984" s="1980"/>
      <c r="H984" s="1980"/>
      <c r="I984" s="1980"/>
      <c r="J984" s="1980"/>
      <c r="K984" s="1980"/>
      <c r="L984" s="1980"/>
      <c r="M984" s="1980"/>
      <c r="N984" s="1980"/>
      <c r="O984" s="1980"/>
      <c r="P984" s="1980"/>
      <c r="Q984" s="1980"/>
      <c r="R984" s="1980"/>
      <c r="S984" s="1980"/>
      <c r="T984" s="1980"/>
      <c r="U984" s="1980"/>
      <c r="V984" s="1980"/>
      <c r="W984" s="1980"/>
      <c r="X984" s="1980"/>
      <c r="Y984" s="1980"/>
      <c r="Z984" s="1980"/>
      <c r="AA984" s="1980"/>
      <c r="AB984" s="1980"/>
      <c r="AC984" s="1980"/>
      <c r="AD984" s="1980"/>
      <c r="AE984" s="1981"/>
      <c r="AF984" s="110"/>
      <c r="AG984" s="112"/>
      <c r="AH984" s="112"/>
      <c r="AI984" s="121"/>
      <c r="AJ984" s="1994"/>
      <c r="AK984" s="1995"/>
      <c r="AL984" s="1995"/>
      <c r="AM984" s="1995"/>
      <c r="AN984" s="1995"/>
      <c r="AO984" s="1995"/>
      <c r="AP984" s="1995"/>
      <c r="AQ984" s="1996"/>
      <c r="AR984" s="1504"/>
      <c r="AS984" s="1504"/>
      <c r="AT984" s="1504"/>
      <c r="AU984" s="1504"/>
      <c r="AV984" s="1504"/>
      <c r="AW984" s="1504"/>
      <c r="AX984" s="1504"/>
      <c r="AY984" s="150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27"/>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1988"/>
      <c r="E985" s="1989"/>
      <c r="F985" s="1989"/>
      <c r="G985" s="1989"/>
      <c r="H985" s="1989"/>
      <c r="I985" s="1989"/>
      <c r="J985" s="1989"/>
      <c r="K985" s="1989"/>
      <c r="L985" s="1989"/>
      <c r="M985" s="1989"/>
      <c r="N985" s="1989"/>
      <c r="O985" s="1989"/>
      <c r="P985" s="1989"/>
      <c r="Q985" s="1989"/>
      <c r="R985" s="1989"/>
      <c r="S985" s="1989"/>
      <c r="T985" s="1989"/>
      <c r="U985" s="1989"/>
      <c r="V985" s="1989"/>
      <c r="W985" s="1989"/>
      <c r="X985" s="1989"/>
      <c r="Y985" s="1989"/>
      <c r="Z985" s="1989"/>
      <c r="AA985" s="1989"/>
      <c r="AB985" s="1989"/>
      <c r="AC985" s="1989"/>
      <c r="AD985" s="1989"/>
      <c r="AE985" s="1990"/>
      <c r="AF985" s="115"/>
      <c r="AG985" s="11"/>
      <c r="AH985" s="11"/>
      <c r="AI985" s="116"/>
      <c r="AJ985" s="1997"/>
      <c r="AK985" s="1998"/>
      <c r="AL985" s="1998"/>
      <c r="AM985" s="1998"/>
      <c r="AN985" s="1998"/>
      <c r="AO985" s="1998"/>
      <c r="AP985" s="1998"/>
      <c r="AQ985" s="1999"/>
      <c r="AR985" s="1504"/>
      <c r="AS985" s="1504"/>
      <c r="AT985" s="1504"/>
      <c r="AU985" s="1504"/>
      <c r="AV985" s="1504"/>
      <c r="AW985" s="1504"/>
      <c r="AX985" s="1504"/>
      <c r="AY985" s="150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27"/>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1985" t="s">
        <v>2190</v>
      </c>
      <c r="E986" s="1986"/>
      <c r="F986" s="1986"/>
      <c r="G986" s="1986"/>
      <c r="H986" s="1986"/>
      <c r="I986" s="1986"/>
      <c r="J986" s="1986"/>
      <c r="K986" s="1986"/>
      <c r="L986" s="1986"/>
      <c r="M986" s="1986"/>
      <c r="N986" s="1986"/>
      <c r="O986" s="1986"/>
      <c r="P986" s="1986"/>
      <c r="Q986" s="1986"/>
      <c r="R986" s="1986"/>
      <c r="S986" s="1986"/>
      <c r="T986" s="1986"/>
      <c r="U986" s="1986"/>
      <c r="V986" s="1986"/>
      <c r="W986" s="1986"/>
      <c r="X986" s="1986"/>
      <c r="Y986" s="1986"/>
      <c r="Z986" s="1986"/>
      <c r="AA986" s="1986"/>
      <c r="AB986" s="1986"/>
      <c r="AC986" s="1986"/>
      <c r="AD986" s="1986"/>
      <c r="AE986" s="1987"/>
      <c r="AF986" s="124"/>
      <c r="AG986" s="2041" t="s">
        <v>708</v>
      </c>
      <c r="AH986" s="2042"/>
      <c r="AI986" s="125"/>
      <c r="AJ986" s="1991">
        <f>ROUND(IF(AG986="yes",AJ975*0.1,0),0)</f>
        <v>0</v>
      </c>
      <c r="AK986" s="1992"/>
      <c r="AL986" s="1992"/>
      <c r="AM986" s="1992"/>
      <c r="AN986" s="1992"/>
      <c r="AO986" s="1992"/>
      <c r="AP986" s="1992"/>
      <c r="AQ986" s="1993"/>
      <c r="AR986" s="1504"/>
      <c r="AS986" s="1504"/>
      <c r="AT986" s="1504"/>
      <c r="AU986" s="1504"/>
      <c r="AV986" s="1504"/>
      <c r="AW986" s="1504"/>
      <c r="AX986" s="1504"/>
      <c r="AY986" s="150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27"/>
      <c r="CS986" s="61"/>
      <c r="CT986" s="61"/>
      <c r="CU986" s="61"/>
      <c r="CV986" s="61"/>
      <c r="CW986" s="61"/>
      <c r="CX986" s="61"/>
      <c r="CY986" s="61"/>
      <c r="CZ986" s="61"/>
      <c r="DA986" s="61"/>
      <c r="DB986" s="61"/>
      <c r="DC986" s="61"/>
      <c r="DD986" s="61"/>
      <c r="DE986" s="61"/>
      <c r="DF986" s="61"/>
    </row>
    <row r="987" spans="1:110" ht="12.75" customHeight="1">
      <c r="A987" s="51"/>
      <c r="B987" s="110"/>
      <c r="C987" s="111"/>
      <c r="D987" s="1967" t="s">
        <v>1541</v>
      </c>
      <c r="E987" s="1968"/>
      <c r="F987" s="1968"/>
      <c r="G987" s="1968"/>
      <c r="H987" s="1968"/>
      <c r="I987" s="1968"/>
      <c r="J987" s="1968"/>
      <c r="K987" s="1968"/>
      <c r="L987" s="1968"/>
      <c r="M987" s="1968"/>
      <c r="N987" s="1968"/>
      <c r="O987" s="1968"/>
      <c r="P987" s="1968"/>
      <c r="Q987" s="1968"/>
      <c r="R987" s="1968"/>
      <c r="S987" s="1968"/>
      <c r="T987" s="1968"/>
      <c r="U987" s="1968"/>
      <c r="V987" s="1968"/>
      <c r="W987" s="1968"/>
      <c r="X987" s="1968"/>
      <c r="Y987" s="1968"/>
      <c r="Z987" s="1968"/>
      <c r="AA987" s="1968"/>
      <c r="AB987" s="1968"/>
      <c r="AC987" s="1968"/>
      <c r="AD987" s="1968"/>
      <c r="AE987" s="1969"/>
      <c r="AF987" s="110"/>
      <c r="AG987" s="25"/>
      <c r="AH987" s="25"/>
      <c r="AI987" s="121"/>
      <c r="AJ987" s="1994"/>
      <c r="AK987" s="1995"/>
      <c r="AL987" s="1995"/>
      <c r="AM987" s="1995"/>
      <c r="AN987" s="1995"/>
      <c r="AO987" s="1995"/>
      <c r="AP987" s="1995"/>
      <c r="AQ987" s="1996"/>
      <c r="AR987" s="1504"/>
      <c r="AS987" s="1504"/>
      <c r="AT987" s="1504"/>
      <c r="AU987" s="1504"/>
      <c r="AV987" s="1504"/>
      <c r="AW987" s="1504"/>
      <c r="AX987" s="1504"/>
      <c r="AY987" s="1504"/>
      <c r="AZ987" s="61"/>
      <c r="BA987" s="1533">
        <f>G753+O796</f>
        <v>65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27"/>
      <c r="CS987" s="61"/>
      <c r="CT987" s="61"/>
      <c r="CU987" s="61"/>
      <c r="CV987" s="61"/>
      <c r="CW987" s="61"/>
      <c r="CX987" s="61"/>
      <c r="CY987" s="61"/>
      <c r="CZ987" s="61"/>
      <c r="DA987" s="61"/>
      <c r="DB987" s="61"/>
      <c r="DC987" s="61"/>
      <c r="DD987" s="61"/>
      <c r="DE987" s="61"/>
      <c r="DF987" s="61"/>
    </row>
    <row r="988" spans="1:110" ht="12.75" customHeight="1">
      <c r="A988" s="51"/>
      <c r="B988" s="110"/>
      <c r="C988" s="111"/>
      <c r="D988" s="1967"/>
      <c r="E988" s="1968"/>
      <c r="F988" s="1968"/>
      <c r="G988" s="1968"/>
      <c r="H988" s="1968"/>
      <c r="I988" s="1968"/>
      <c r="J988" s="1968"/>
      <c r="K988" s="1968"/>
      <c r="L988" s="1968"/>
      <c r="M988" s="1968"/>
      <c r="N988" s="1968"/>
      <c r="O988" s="1968"/>
      <c r="P988" s="1968"/>
      <c r="Q988" s="1968"/>
      <c r="R988" s="1968"/>
      <c r="S988" s="1968"/>
      <c r="T988" s="1968"/>
      <c r="U988" s="1968"/>
      <c r="V988" s="1968"/>
      <c r="W988" s="1968"/>
      <c r="X988" s="1968"/>
      <c r="Y988" s="1968"/>
      <c r="Z988" s="1968"/>
      <c r="AA988" s="1968"/>
      <c r="AB988" s="1968"/>
      <c r="AC988" s="1968"/>
      <c r="AD988" s="1968"/>
      <c r="AE988" s="1969"/>
      <c r="AF988" s="110"/>
      <c r="AG988" s="112"/>
      <c r="AH988" s="112"/>
      <c r="AI988" s="121"/>
      <c r="AJ988" s="1994"/>
      <c r="AK988" s="1995"/>
      <c r="AL988" s="1995"/>
      <c r="AM988" s="1995"/>
      <c r="AN988" s="1995"/>
      <c r="AO988" s="1995"/>
      <c r="AP988" s="1995"/>
      <c r="AQ988" s="1996"/>
      <c r="AR988" s="1504"/>
      <c r="AS988" s="1504"/>
      <c r="AT988" s="1504"/>
      <c r="AU988" s="1504"/>
      <c r="AV988" s="1504"/>
      <c r="AW988" s="1504"/>
      <c r="AX988" s="1504"/>
      <c r="AY988" s="150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27"/>
      <c r="CS988" s="61"/>
      <c r="CT988" s="61"/>
      <c r="CU988" s="61"/>
      <c r="CV988" s="61"/>
      <c r="CW988" s="61"/>
      <c r="CX988" s="61"/>
      <c r="CY988" s="61"/>
      <c r="CZ988" s="61"/>
      <c r="DA988" s="61"/>
      <c r="DB988" s="61"/>
      <c r="DC988" s="61"/>
      <c r="DD988" s="61"/>
      <c r="DE988" s="61"/>
      <c r="DF988" s="61"/>
    </row>
    <row r="989" spans="1:110" ht="12.75" customHeight="1">
      <c r="A989" s="51"/>
      <c r="B989" s="123"/>
      <c r="C989" s="114"/>
      <c r="D989" s="1970"/>
      <c r="E989" s="1971"/>
      <c r="F989" s="1971"/>
      <c r="G989" s="1971"/>
      <c r="H989" s="1971"/>
      <c r="I989" s="1971"/>
      <c r="J989" s="1971"/>
      <c r="K989" s="1971"/>
      <c r="L989" s="1971"/>
      <c r="M989" s="1971"/>
      <c r="N989" s="1971"/>
      <c r="O989" s="1971"/>
      <c r="P989" s="1971"/>
      <c r="Q989" s="1971"/>
      <c r="R989" s="1971"/>
      <c r="S989" s="1971"/>
      <c r="T989" s="1971"/>
      <c r="U989" s="1971"/>
      <c r="V989" s="1971"/>
      <c r="W989" s="1971"/>
      <c r="X989" s="1971"/>
      <c r="Y989" s="1971"/>
      <c r="Z989" s="1971"/>
      <c r="AA989" s="1971"/>
      <c r="AB989" s="1971"/>
      <c r="AC989" s="1971"/>
      <c r="AD989" s="1971"/>
      <c r="AE989" s="1972"/>
      <c r="AF989" s="115"/>
      <c r="AG989" s="11"/>
      <c r="AH989" s="11"/>
      <c r="AI989" s="116"/>
      <c r="AJ989" s="1997"/>
      <c r="AK989" s="1998"/>
      <c r="AL989" s="1998"/>
      <c r="AM989" s="1998"/>
      <c r="AN989" s="1998"/>
      <c r="AO989" s="1998"/>
      <c r="AP989" s="1998"/>
      <c r="AQ989" s="1999"/>
      <c r="AR989" s="1504"/>
      <c r="AS989" s="1504"/>
      <c r="AT989" s="1504"/>
      <c r="AU989" s="1504"/>
      <c r="AV989" s="1504"/>
      <c r="AW989" s="1504"/>
      <c r="AX989" s="1504"/>
      <c r="AY989" s="1504"/>
      <c r="AZ989" s="61"/>
      <c r="BA989" s="1532">
        <f>ROUNDDOWN(X1027/I1027,2)</f>
        <v>0.36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27"/>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1985" t="s">
        <v>1543</v>
      </c>
      <c r="E990" s="1986"/>
      <c r="F990" s="1986"/>
      <c r="G990" s="1986"/>
      <c r="H990" s="1986"/>
      <c r="I990" s="1986"/>
      <c r="J990" s="1986"/>
      <c r="K990" s="1986"/>
      <c r="L990" s="1986"/>
      <c r="M990" s="1986"/>
      <c r="N990" s="1986"/>
      <c r="O990" s="1986"/>
      <c r="P990" s="1986"/>
      <c r="Q990" s="1986"/>
      <c r="R990" s="1986"/>
      <c r="S990" s="1986"/>
      <c r="T990" s="1986"/>
      <c r="U990" s="1986"/>
      <c r="V990" s="1986"/>
      <c r="W990" s="1986"/>
      <c r="X990" s="1986"/>
      <c r="Y990" s="1986"/>
      <c r="Z990" s="1986"/>
      <c r="AA990" s="1986"/>
      <c r="AB990" s="1986"/>
      <c r="AC990" s="1986"/>
      <c r="AD990" s="1986"/>
      <c r="AE990" s="1987"/>
      <c r="AF990" s="117"/>
      <c r="AG990" s="2041" t="s">
        <v>708</v>
      </c>
      <c r="AH990" s="2042"/>
      <c r="AI990" s="125"/>
      <c r="AJ990" s="1991">
        <f>ROUND(IF(AG990="yes",AJ975*0.02,0),0)</f>
        <v>0</v>
      </c>
      <c r="AK990" s="1992"/>
      <c r="AL990" s="1992"/>
      <c r="AM990" s="1992"/>
      <c r="AN990" s="1992"/>
      <c r="AO990" s="1992"/>
      <c r="AP990" s="1992"/>
      <c r="AQ990" s="1993"/>
      <c r="AR990" s="1504"/>
      <c r="AS990" s="1504"/>
      <c r="AT990" s="1504"/>
      <c r="AU990" s="1504"/>
      <c r="AV990" s="1504"/>
      <c r="AW990" s="1504"/>
      <c r="AX990" s="1504"/>
      <c r="AY990" s="1504"/>
      <c r="AZ990" s="61"/>
      <c r="BA990" s="1532">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2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1970" t="s">
        <v>1544</v>
      </c>
      <c r="E991" s="1971"/>
      <c r="F991" s="1971"/>
      <c r="G991" s="1971"/>
      <c r="H991" s="1971"/>
      <c r="I991" s="1971"/>
      <c r="J991" s="1971"/>
      <c r="K991" s="1971"/>
      <c r="L991" s="1971"/>
      <c r="M991" s="1971"/>
      <c r="N991" s="1971"/>
      <c r="O991" s="1971"/>
      <c r="P991" s="1971"/>
      <c r="Q991" s="1971"/>
      <c r="R991" s="1971"/>
      <c r="S991" s="1971"/>
      <c r="T991" s="1971"/>
      <c r="U991" s="1971"/>
      <c r="V991" s="1971"/>
      <c r="W991" s="1971"/>
      <c r="X991" s="1971"/>
      <c r="Y991" s="1971"/>
      <c r="Z991" s="1971"/>
      <c r="AA991" s="1971"/>
      <c r="AB991" s="1971"/>
      <c r="AC991" s="1971"/>
      <c r="AD991" s="1971"/>
      <c r="AE991" s="1972"/>
      <c r="AF991" s="115"/>
      <c r="AG991" s="11"/>
      <c r="AH991" s="11"/>
      <c r="AI991" s="116"/>
      <c r="AJ991" s="1997"/>
      <c r="AK991" s="1998"/>
      <c r="AL991" s="1998"/>
      <c r="AM991" s="1998"/>
      <c r="AN991" s="1998"/>
      <c r="AO991" s="1998"/>
      <c r="AP991" s="1998"/>
      <c r="AQ991" s="1999"/>
      <c r="AR991" s="1504"/>
      <c r="AS991" s="1504"/>
      <c r="AT991" s="1504"/>
      <c r="AU991" s="1504"/>
      <c r="AV991" s="1504"/>
      <c r="AW991" s="1504"/>
      <c r="AX991" s="1504"/>
      <c r="AY991" s="1504"/>
      <c r="BB991" s="61"/>
      <c r="BC991" s="61"/>
      <c r="BD991" s="61"/>
      <c r="BE991" s="61"/>
      <c r="BF991" s="61"/>
      <c r="CR991" s="204"/>
    </row>
    <row r="992" spans="1:110" ht="12.75" customHeight="1">
      <c r="A992" s="51"/>
      <c r="B992" s="117"/>
      <c r="C992" s="118" t="s">
        <v>222</v>
      </c>
      <c r="D992" s="1985" t="s">
        <v>1545</v>
      </c>
      <c r="E992" s="1986"/>
      <c r="F992" s="1986"/>
      <c r="G992" s="1986"/>
      <c r="H992" s="1986"/>
      <c r="I992" s="1986"/>
      <c r="J992" s="1986"/>
      <c r="K992" s="1986"/>
      <c r="L992" s="1986"/>
      <c r="M992" s="1986"/>
      <c r="N992" s="1986"/>
      <c r="O992" s="1986"/>
      <c r="P992" s="1986"/>
      <c r="Q992" s="1986"/>
      <c r="R992" s="1986"/>
      <c r="S992" s="1986"/>
      <c r="T992" s="1986"/>
      <c r="U992" s="1986"/>
      <c r="V992" s="1986"/>
      <c r="W992" s="1986"/>
      <c r="X992" s="1986"/>
      <c r="Y992" s="1986"/>
      <c r="Z992" s="1986"/>
      <c r="AA992" s="1986"/>
      <c r="AB992" s="1986"/>
      <c r="AC992" s="1986"/>
      <c r="AD992" s="1986"/>
      <c r="AE992" s="1987"/>
      <c r="AF992" s="117"/>
      <c r="AG992" s="2041" t="s">
        <v>708</v>
      </c>
      <c r="AH992" s="2042"/>
      <c r="AI992" s="117"/>
      <c r="AJ992" s="1991">
        <f>ROUND(IF(AG992="yes",AJ975*0.02,0),0)</f>
        <v>0</v>
      </c>
      <c r="AK992" s="1992"/>
      <c r="AL992" s="1992"/>
      <c r="AM992" s="1992"/>
      <c r="AN992" s="1992"/>
      <c r="AO992" s="1992"/>
      <c r="AP992" s="1992"/>
      <c r="AQ992" s="1993"/>
      <c r="AR992" s="1504"/>
      <c r="AS992" s="1504"/>
      <c r="AT992" s="1504"/>
      <c r="AU992" s="1504"/>
      <c r="AV992" s="1504"/>
      <c r="AW992" s="1504"/>
      <c r="AX992" s="1504"/>
      <c r="AY992" s="1504"/>
      <c r="BB992" s="32"/>
      <c r="BC992" s="32"/>
      <c r="BD992" s="32"/>
      <c r="BE992" s="32"/>
      <c r="BF992" s="32"/>
    </row>
    <row r="993" spans="1:96" s="720" customFormat="1" ht="12.75" customHeight="1">
      <c r="A993" s="51"/>
      <c r="B993" s="110"/>
      <c r="C993" s="111"/>
      <c r="D993" s="1967" t="s">
        <v>1546</v>
      </c>
      <c r="E993" s="1968"/>
      <c r="F993" s="1968"/>
      <c r="G993" s="1968"/>
      <c r="H993" s="1968"/>
      <c r="I993" s="1968"/>
      <c r="J993" s="1968"/>
      <c r="K993" s="1968"/>
      <c r="L993" s="1968"/>
      <c r="M993" s="1968"/>
      <c r="N993" s="1968"/>
      <c r="O993" s="1968"/>
      <c r="P993" s="1968"/>
      <c r="Q993" s="1968"/>
      <c r="R993" s="1968"/>
      <c r="S993" s="1968"/>
      <c r="T993" s="1968"/>
      <c r="U993" s="1968"/>
      <c r="V993" s="1968"/>
      <c r="W993" s="1968"/>
      <c r="X993" s="1968"/>
      <c r="Y993" s="1968"/>
      <c r="Z993" s="1968"/>
      <c r="AA993" s="1968"/>
      <c r="AB993" s="1968"/>
      <c r="AC993" s="1968"/>
      <c r="AD993" s="1968"/>
      <c r="AE993" s="1969"/>
      <c r="AF993" s="110"/>
      <c r="AG993" s="25"/>
      <c r="AH993" s="25"/>
      <c r="AI993" s="112"/>
      <c r="AJ993" s="1994"/>
      <c r="AK993" s="1995"/>
      <c r="AL993" s="1995"/>
      <c r="AM993" s="1995"/>
      <c r="AN993" s="1995"/>
      <c r="AO993" s="1995"/>
      <c r="AP993" s="1995"/>
      <c r="AQ993" s="1996"/>
      <c r="AR993" s="1504"/>
      <c r="AS993" s="1504"/>
      <c r="AT993" s="1504"/>
      <c r="AU993" s="1504"/>
      <c r="AV993" s="1504"/>
      <c r="AW993" s="1504"/>
      <c r="AX993" s="1504"/>
      <c r="AY993" s="1504"/>
      <c r="BB993" s="828"/>
      <c r="BC993" s="828"/>
      <c r="BD993" s="828"/>
      <c r="BE993" s="828"/>
      <c r="BF993" s="828"/>
      <c r="CR993" s="25"/>
    </row>
    <row r="994" spans="1:96" ht="12.75" customHeight="1">
      <c r="A994" s="51"/>
      <c r="B994" s="113"/>
      <c r="C994" s="114"/>
      <c r="D994" s="1970"/>
      <c r="E994" s="1971"/>
      <c r="F994" s="1971"/>
      <c r="G994" s="1971"/>
      <c r="H994" s="1971"/>
      <c r="I994" s="1971"/>
      <c r="J994" s="1971"/>
      <c r="K994" s="1971"/>
      <c r="L994" s="1971"/>
      <c r="M994" s="1971"/>
      <c r="N994" s="1971"/>
      <c r="O994" s="1971"/>
      <c r="P994" s="1971"/>
      <c r="Q994" s="1971"/>
      <c r="R994" s="1971"/>
      <c r="S994" s="1971"/>
      <c r="T994" s="1971"/>
      <c r="U994" s="1971"/>
      <c r="V994" s="1971"/>
      <c r="W994" s="1971"/>
      <c r="X994" s="1971"/>
      <c r="Y994" s="1971"/>
      <c r="Z994" s="1971"/>
      <c r="AA994" s="1971"/>
      <c r="AB994" s="1971"/>
      <c r="AC994" s="1971"/>
      <c r="AD994" s="1971"/>
      <c r="AE994" s="1972"/>
      <c r="AF994" s="115"/>
      <c r="AG994" s="11"/>
      <c r="AH994" s="11"/>
      <c r="AI994" s="116"/>
      <c r="AJ994" s="1997"/>
      <c r="AK994" s="1998"/>
      <c r="AL994" s="1998"/>
      <c r="AM994" s="1998"/>
      <c r="AN994" s="1998"/>
      <c r="AO994" s="1998"/>
      <c r="AP994" s="1998"/>
      <c r="AQ994" s="1999"/>
      <c r="AR994" s="1504"/>
      <c r="AS994" s="1504"/>
      <c r="AT994" s="1504"/>
      <c r="AU994" s="1504"/>
      <c r="AV994" s="1504"/>
      <c r="AW994" s="1504"/>
      <c r="AX994" s="1504"/>
      <c r="AY994" s="1504"/>
    </row>
    <row r="995" spans="1:96" s="720" customFormat="1" ht="12.75" customHeight="1">
      <c r="A995" s="51"/>
      <c r="B995" s="117"/>
      <c r="C995" s="118" t="s">
        <v>225</v>
      </c>
      <c r="D995" s="1964" t="s">
        <v>1547</v>
      </c>
      <c r="E995" s="1965"/>
      <c r="F995" s="1965"/>
      <c r="G995" s="1965"/>
      <c r="H995" s="1965"/>
      <c r="I995" s="1965"/>
      <c r="J995" s="1965"/>
      <c r="K995" s="1965"/>
      <c r="L995" s="1965"/>
      <c r="M995" s="1965"/>
      <c r="N995" s="1965"/>
      <c r="O995" s="1965"/>
      <c r="P995" s="1965"/>
      <c r="Q995" s="1965"/>
      <c r="R995" s="1965"/>
      <c r="S995" s="1965"/>
      <c r="T995" s="1965"/>
      <c r="U995" s="1965"/>
      <c r="V995" s="1965"/>
      <c r="W995" s="1965"/>
      <c r="X995" s="1965"/>
      <c r="Y995" s="1965"/>
      <c r="Z995" s="1965"/>
      <c r="AA995" s="1965"/>
      <c r="AB995" s="1965"/>
      <c r="AC995" s="1965"/>
      <c r="AD995" s="1965"/>
      <c r="AE995" s="1966"/>
      <c r="AF995" s="117"/>
      <c r="AG995" s="2041" t="s">
        <v>708</v>
      </c>
      <c r="AH995" s="2042"/>
      <c r="AI995" s="125"/>
      <c r="AJ995" s="1991">
        <f>IF(AG995="yes",AJ975*BA995,0)</f>
        <v>0</v>
      </c>
      <c r="AK995" s="1992"/>
      <c r="AL995" s="1992"/>
      <c r="AM995" s="1992"/>
      <c r="AN995" s="1992"/>
      <c r="AO995" s="1992"/>
      <c r="AP995" s="1992"/>
      <c r="AQ995" s="1993"/>
      <c r="AR995" s="1504"/>
      <c r="AS995" s="1504"/>
      <c r="AT995" s="1504"/>
      <c r="AU995" s="1504"/>
      <c r="AV995" s="1504"/>
      <c r="AW995" s="1504"/>
      <c r="AX995" s="1504"/>
      <c r="AY995" s="1504"/>
      <c r="BA995" s="323">
        <f>IF(SUM(BA997:BA1005)&lt;=0.1,SUM(BA997:BA1005),0.1)</f>
        <v>0.1</v>
      </c>
      <c r="CR995" s="25"/>
    </row>
    <row r="996" spans="1:96" ht="12.75" customHeight="1">
      <c r="A996" s="51"/>
      <c r="B996" s="110"/>
      <c r="C996" s="111"/>
      <c r="D996" s="1967" t="s">
        <v>1548</v>
      </c>
      <c r="E996" s="1968"/>
      <c r="F996" s="1968"/>
      <c r="G996" s="1968"/>
      <c r="H996" s="1968"/>
      <c r="I996" s="1968"/>
      <c r="J996" s="1968"/>
      <c r="K996" s="1968"/>
      <c r="L996" s="1968"/>
      <c r="M996" s="1968"/>
      <c r="N996" s="1968"/>
      <c r="O996" s="1968"/>
      <c r="P996" s="1968"/>
      <c r="Q996" s="1968"/>
      <c r="R996" s="1968"/>
      <c r="S996" s="1968"/>
      <c r="T996" s="1968"/>
      <c r="U996" s="1968"/>
      <c r="V996" s="1968"/>
      <c r="W996" s="1968"/>
      <c r="X996" s="1968"/>
      <c r="Y996" s="1968"/>
      <c r="Z996" s="1968"/>
      <c r="AA996" s="1968"/>
      <c r="AB996" s="1968"/>
      <c r="AC996" s="1968"/>
      <c r="AD996" s="1968"/>
      <c r="AE996" s="1969"/>
      <c r="AF996" s="110"/>
      <c r="AG996" s="112"/>
      <c r="AH996" s="112"/>
      <c r="AI996" s="121"/>
      <c r="AJ996" s="1994"/>
      <c r="AK996" s="1995"/>
      <c r="AL996" s="1995"/>
      <c r="AM996" s="1995"/>
      <c r="AN996" s="1995"/>
      <c r="AO996" s="1995"/>
      <c r="AP996" s="1995"/>
      <c r="AQ996" s="1996"/>
      <c r="AR996" s="1504"/>
      <c r="AS996" s="1504"/>
      <c r="AT996" s="1504"/>
      <c r="AU996" s="1504"/>
      <c r="AV996" s="1504"/>
      <c r="AW996" s="1504"/>
      <c r="AX996" s="1504"/>
      <c r="AY996" s="1504"/>
    </row>
    <row r="997" spans="1:96" ht="12.75" customHeight="1">
      <c r="A997" s="51"/>
      <c r="B997" s="110"/>
      <c r="C997" s="111"/>
      <c r="D997" s="1967"/>
      <c r="E997" s="1968"/>
      <c r="F997" s="1968"/>
      <c r="G997" s="1968"/>
      <c r="H997" s="1968"/>
      <c r="I997" s="1968"/>
      <c r="J997" s="1968"/>
      <c r="K997" s="1968"/>
      <c r="L997" s="1968"/>
      <c r="M997" s="1968"/>
      <c r="N997" s="1968"/>
      <c r="O997" s="1968"/>
      <c r="P997" s="1968"/>
      <c r="Q997" s="1968"/>
      <c r="R997" s="1968"/>
      <c r="S997" s="1968"/>
      <c r="T997" s="1968"/>
      <c r="U997" s="1968"/>
      <c r="V997" s="1968"/>
      <c r="W997" s="1968"/>
      <c r="X997" s="1968"/>
      <c r="Y997" s="1968"/>
      <c r="Z997" s="1968"/>
      <c r="AA997" s="1968"/>
      <c r="AB997" s="1968"/>
      <c r="AC997" s="1968"/>
      <c r="AD997" s="1968"/>
      <c r="AE997" s="1969"/>
      <c r="AF997" s="110"/>
      <c r="AG997" s="112"/>
      <c r="AH997" s="112"/>
      <c r="AI997" s="121"/>
      <c r="AJ997" s="1994"/>
      <c r="AK997" s="1995"/>
      <c r="AL997" s="1995"/>
      <c r="AM997" s="1995"/>
      <c r="AN997" s="1995"/>
      <c r="AO997" s="1995"/>
      <c r="AP997" s="1995"/>
      <c r="AQ997" s="1996"/>
      <c r="AR997" s="1504"/>
      <c r="AS997" s="1504"/>
      <c r="AT997" s="1504"/>
      <c r="AU997" s="1504"/>
      <c r="AV997" s="1504"/>
      <c r="AW997" s="1504"/>
      <c r="AX997" s="1504"/>
      <c r="AY997" s="1504"/>
      <c r="BA997" s="321">
        <f>IF(A1044="Yes",0.05,0)</f>
        <v>0.05</v>
      </c>
    </row>
    <row r="998" spans="1:96" ht="15" customHeight="1">
      <c r="A998" s="51"/>
      <c r="B998" s="119"/>
      <c r="C998" s="120"/>
      <c r="D998" s="1970"/>
      <c r="E998" s="1971"/>
      <c r="F998" s="1971"/>
      <c r="G998" s="1971"/>
      <c r="H998" s="1971"/>
      <c r="I998" s="1971"/>
      <c r="J998" s="1971"/>
      <c r="K998" s="1971"/>
      <c r="L998" s="1971"/>
      <c r="M998" s="1971"/>
      <c r="N998" s="1971"/>
      <c r="O998" s="1971"/>
      <c r="P998" s="1971"/>
      <c r="Q998" s="1971"/>
      <c r="R998" s="1971"/>
      <c r="S998" s="1971"/>
      <c r="T998" s="1971"/>
      <c r="U998" s="1971"/>
      <c r="V998" s="1971"/>
      <c r="W998" s="1971"/>
      <c r="X998" s="1971"/>
      <c r="Y998" s="1971"/>
      <c r="Z998" s="1971"/>
      <c r="AA998" s="1971"/>
      <c r="AB998" s="1971"/>
      <c r="AC998" s="1971"/>
      <c r="AD998" s="1971"/>
      <c r="AE998" s="1972"/>
      <c r="AF998" s="115"/>
      <c r="AG998" s="11"/>
      <c r="AH998" s="11"/>
      <c r="AI998" s="116"/>
      <c r="AJ998" s="1997"/>
      <c r="AK998" s="1998"/>
      <c r="AL998" s="1998"/>
      <c r="AM998" s="1998"/>
      <c r="AN998" s="1998"/>
      <c r="AO998" s="1998"/>
      <c r="AP998" s="1998"/>
      <c r="AQ998" s="1999"/>
      <c r="AR998" s="1504"/>
      <c r="AS998" s="1504"/>
      <c r="AT998" s="1504"/>
      <c r="AU998" s="1504"/>
      <c r="AV998" s="1504"/>
      <c r="AW998" s="1504"/>
      <c r="AX998" s="1504"/>
      <c r="AY998" s="1504"/>
      <c r="BA998" s="321">
        <f>IF(A1050="Yes",0.02,0)</f>
        <v>0.02</v>
      </c>
    </row>
    <row r="999" spans="1:96" s="720" customFormat="1" ht="15" customHeight="1">
      <c r="A999" s="51"/>
      <c r="B999" s="117"/>
      <c r="C999" s="118" t="s">
        <v>230</v>
      </c>
      <c r="D999" s="2021" t="s">
        <v>1549</v>
      </c>
      <c r="E999" s="2022"/>
      <c r="F999" s="2022"/>
      <c r="G999" s="2022"/>
      <c r="H999" s="2022"/>
      <c r="I999" s="2022"/>
      <c r="J999" s="2022"/>
      <c r="K999" s="2022"/>
      <c r="L999" s="2022"/>
      <c r="M999" s="2022"/>
      <c r="N999" s="2022"/>
      <c r="O999" s="2022"/>
      <c r="P999" s="2022"/>
      <c r="Q999" s="2022"/>
      <c r="R999" s="2022"/>
      <c r="S999" s="2022"/>
      <c r="T999" s="2022"/>
      <c r="U999" s="2022"/>
      <c r="V999" s="2022"/>
      <c r="W999" s="2022"/>
      <c r="X999" s="2022"/>
      <c r="Y999" s="2022"/>
      <c r="Z999" s="2022"/>
      <c r="AA999" s="2022"/>
      <c r="AB999" s="2022"/>
      <c r="AC999" s="2022"/>
      <c r="AD999" s="2022"/>
      <c r="AE999" s="2023"/>
      <c r="AF999" s="117"/>
      <c r="AG999" s="2041" t="s">
        <v>708</v>
      </c>
      <c r="AH999" s="2042"/>
      <c r="AI999" s="125"/>
      <c r="AJ999" s="2000"/>
      <c r="AK999" s="2001"/>
      <c r="AL999" s="2001"/>
      <c r="AM999" s="2001"/>
      <c r="AN999" s="2001"/>
      <c r="AO999" s="2001"/>
      <c r="AP999" s="2001"/>
      <c r="AQ999" s="2002"/>
      <c r="AR999" s="1504"/>
      <c r="AS999" s="1504"/>
      <c r="AT999" s="1504"/>
      <c r="AU999" s="1504"/>
      <c r="AV999" s="1504"/>
      <c r="AW999" s="1504"/>
      <c r="AX999" s="1504"/>
      <c r="AY999" s="1504"/>
      <c r="BA999" s="321">
        <f>IF(A1056="Yes",0.04,0)</f>
        <v>0.04</v>
      </c>
      <c r="CR999" s="25"/>
    </row>
    <row r="1000" spans="1:96" ht="12.75">
      <c r="A1000" s="51"/>
      <c r="B1000" s="119"/>
      <c r="C1000" s="122"/>
      <c r="D1000" s="2024"/>
      <c r="E1000" s="2025"/>
      <c r="F1000" s="2025"/>
      <c r="G1000" s="2025"/>
      <c r="H1000" s="2025"/>
      <c r="I1000" s="2025"/>
      <c r="J1000" s="2025"/>
      <c r="K1000" s="2025"/>
      <c r="L1000" s="2025"/>
      <c r="M1000" s="2025"/>
      <c r="N1000" s="2025"/>
      <c r="O1000" s="2025"/>
      <c r="P1000" s="2025"/>
      <c r="Q1000" s="2025"/>
      <c r="R1000" s="2025"/>
      <c r="S1000" s="2025"/>
      <c r="T1000" s="2025"/>
      <c r="U1000" s="2025"/>
      <c r="V1000" s="2025"/>
      <c r="W1000" s="2025"/>
      <c r="X1000" s="2025"/>
      <c r="Y1000" s="2025"/>
      <c r="Z1000" s="2025"/>
      <c r="AA1000" s="2025"/>
      <c r="AB1000" s="2025"/>
      <c r="AC1000" s="2025"/>
      <c r="AD1000" s="2025"/>
      <c r="AE1000" s="2026"/>
      <c r="AF1000" s="2009">
        <f>IF(AG999="yes","Please Select Type and Enter Amount:",0)</f>
        <v>0</v>
      </c>
      <c r="AG1000" s="2010"/>
      <c r="AH1000" s="2010"/>
      <c r="AI1000" s="2011"/>
      <c r="AJ1000" s="2003"/>
      <c r="AK1000" s="2004"/>
      <c r="AL1000" s="2004"/>
      <c r="AM1000" s="2004"/>
      <c r="AN1000" s="2004"/>
      <c r="AO1000" s="2004"/>
      <c r="AP1000" s="2004"/>
      <c r="AQ1000" s="2005"/>
      <c r="AR1000" s="1504"/>
      <c r="AS1000" s="1504"/>
      <c r="AT1000" s="1504"/>
      <c r="AU1000" s="1504"/>
      <c r="AV1000" s="1504"/>
      <c r="AW1000" s="1504"/>
      <c r="AX1000" s="1504"/>
      <c r="AY1000" s="1504"/>
      <c r="BA1000" s="321">
        <f>IF(A1063="Yes",0.04,0)</f>
        <v>0</v>
      </c>
    </row>
    <row r="1001" spans="1:96" ht="12.75" customHeight="1">
      <c r="A1001" s="51"/>
      <c r="B1001" s="119"/>
      <c r="C1001" s="122"/>
      <c r="D1001" s="1967" t="s">
        <v>1550</v>
      </c>
      <c r="E1001" s="1968"/>
      <c r="F1001" s="1968"/>
      <c r="G1001" s="1968"/>
      <c r="H1001" s="1968"/>
      <c r="I1001" s="1968"/>
      <c r="J1001" s="1968"/>
      <c r="K1001" s="1968"/>
      <c r="L1001" s="1968"/>
      <c r="M1001" s="1968"/>
      <c r="N1001" s="1968"/>
      <c r="O1001" s="1968"/>
      <c r="P1001" s="1968"/>
      <c r="Q1001" s="1968"/>
      <c r="R1001" s="1968"/>
      <c r="S1001" s="1968"/>
      <c r="T1001" s="1968"/>
      <c r="U1001" s="1968"/>
      <c r="V1001" s="1968"/>
      <c r="W1001" s="1968"/>
      <c r="X1001" s="1968"/>
      <c r="Y1001" s="1968"/>
      <c r="Z1001" s="1968"/>
      <c r="AA1001" s="1968"/>
      <c r="AB1001" s="1968"/>
      <c r="AC1001" s="1968"/>
      <c r="AD1001" s="1968"/>
      <c r="AE1001" s="1969"/>
      <c r="AF1001" s="2009"/>
      <c r="AG1001" s="2010"/>
      <c r="AH1001" s="2010"/>
      <c r="AI1001" s="2011"/>
      <c r="AJ1001" s="2003"/>
      <c r="AK1001" s="2004"/>
      <c r="AL1001" s="2004"/>
      <c r="AM1001" s="2004"/>
      <c r="AN1001" s="2004"/>
      <c r="AO1001" s="2004"/>
      <c r="AP1001" s="2004"/>
      <c r="AQ1001" s="2005"/>
      <c r="AR1001" s="1504"/>
      <c r="AS1001" s="1504"/>
      <c r="AT1001" s="1504"/>
      <c r="AU1001" s="1504"/>
      <c r="AV1001" s="1504"/>
      <c r="AW1001" s="1504"/>
      <c r="AX1001" s="1504"/>
      <c r="AY1001" s="1504"/>
      <c r="BA1001" s="321">
        <f>IF(A1066="Yes",0.01,0)</f>
        <v>0</v>
      </c>
    </row>
    <row r="1002" spans="1:96" ht="12.75" customHeight="1">
      <c r="A1002" s="51"/>
      <c r="B1002" s="119"/>
      <c r="C1002" s="122"/>
      <c r="D1002" s="1967"/>
      <c r="E1002" s="1968"/>
      <c r="F1002" s="1968"/>
      <c r="G1002" s="1968"/>
      <c r="H1002" s="1968"/>
      <c r="I1002" s="1968"/>
      <c r="J1002" s="1968"/>
      <c r="K1002" s="1968"/>
      <c r="L1002" s="1968"/>
      <c r="M1002" s="1968"/>
      <c r="N1002" s="1968"/>
      <c r="O1002" s="1968"/>
      <c r="P1002" s="1968"/>
      <c r="Q1002" s="1968"/>
      <c r="R1002" s="1968"/>
      <c r="S1002" s="1968"/>
      <c r="T1002" s="1968"/>
      <c r="U1002" s="1968"/>
      <c r="V1002" s="1968"/>
      <c r="W1002" s="1968"/>
      <c r="X1002" s="1968"/>
      <c r="Y1002" s="1968"/>
      <c r="Z1002" s="1968"/>
      <c r="AA1002" s="1968"/>
      <c r="AB1002" s="1968"/>
      <c r="AC1002" s="1968"/>
      <c r="AD1002" s="1968"/>
      <c r="AE1002" s="1969"/>
      <c r="AF1002" s="2009"/>
      <c r="AG1002" s="2010"/>
      <c r="AH1002" s="2010"/>
      <c r="AI1002" s="2011"/>
      <c r="AJ1002" s="2003"/>
      <c r="AK1002" s="2004"/>
      <c r="AL1002" s="2004"/>
      <c r="AM1002" s="2004"/>
      <c r="AN1002" s="2004"/>
      <c r="AO1002" s="2004"/>
      <c r="AP1002" s="2004"/>
      <c r="AQ1002" s="2005"/>
      <c r="AR1002" s="1504"/>
      <c r="AS1002" s="1504"/>
      <c r="AT1002" s="1504"/>
      <c r="AU1002" s="1504"/>
      <c r="AV1002" s="1504"/>
      <c r="AW1002" s="1504"/>
      <c r="AX1002" s="1504"/>
      <c r="AY1002" s="1504"/>
      <c r="BA1002" s="321">
        <f>IF(A1071="Yes",0.01,0)</f>
        <v>0</v>
      </c>
    </row>
    <row r="1003" spans="1:96" s="720" customFormat="1" ht="12.75" customHeight="1">
      <c r="A1003" s="51"/>
      <c r="B1003" s="119"/>
      <c r="C1003" s="122"/>
      <c r="D1003" s="829" t="s">
        <v>371</v>
      </c>
      <c r="E1003" s="133"/>
      <c r="F1003" s="133"/>
      <c r="G1003" s="160"/>
      <c r="H1003" s="160"/>
      <c r="I1003" s="81"/>
      <c r="J1003" s="2027" t="s">
        <v>628</v>
      </c>
      <c r="K1003" s="2028"/>
      <c r="L1003" s="2028"/>
      <c r="M1003" s="2028"/>
      <c r="N1003" s="2028"/>
      <c r="O1003" s="2028"/>
      <c r="P1003" s="2028"/>
      <c r="Q1003" s="2028"/>
      <c r="R1003" s="2028"/>
      <c r="S1003" s="2028"/>
      <c r="T1003" s="2028"/>
      <c r="U1003" s="2028"/>
      <c r="V1003" s="2028"/>
      <c r="W1003" s="2028"/>
      <c r="X1003" s="2028"/>
      <c r="Y1003" s="2028"/>
      <c r="Z1003" s="2028"/>
      <c r="AA1003" s="2028"/>
      <c r="AB1003" s="2028"/>
      <c r="AC1003" s="2028"/>
      <c r="AD1003" s="2028"/>
      <c r="AE1003" s="2029"/>
      <c r="AF1003" s="2012"/>
      <c r="AG1003" s="2013"/>
      <c r="AH1003" s="2013"/>
      <c r="AI1003" s="2014"/>
      <c r="AJ1003" s="2006"/>
      <c r="AK1003" s="2007"/>
      <c r="AL1003" s="2007"/>
      <c r="AM1003" s="2007"/>
      <c r="AN1003" s="2007"/>
      <c r="AO1003" s="2007"/>
      <c r="AP1003" s="2007"/>
      <c r="AQ1003" s="2008"/>
      <c r="AR1003" s="1504"/>
      <c r="AS1003" s="1504"/>
      <c r="AT1003" s="1504"/>
      <c r="AU1003" s="1504"/>
      <c r="AV1003" s="1504"/>
      <c r="AW1003" s="1504"/>
      <c r="AX1003" s="1504"/>
      <c r="AY1003" s="1504"/>
      <c r="BA1003" s="321">
        <f>IF(A1074="Yes",0.01,0)</f>
        <v>0</v>
      </c>
      <c r="CR1003" s="25"/>
    </row>
    <row r="1004" spans="1:96" ht="12.75" customHeight="1">
      <c r="A1004" s="51"/>
      <c r="B1004" s="117"/>
      <c r="C1004" s="118" t="s">
        <v>236</v>
      </c>
      <c r="D1004" s="1985" t="s">
        <v>1551</v>
      </c>
      <c r="E1004" s="1986"/>
      <c r="F1004" s="1986"/>
      <c r="G1004" s="1986"/>
      <c r="H1004" s="1986"/>
      <c r="I1004" s="1986"/>
      <c r="J1004" s="1986"/>
      <c r="K1004" s="1986"/>
      <c r="L1004" s="1986"/>
      <c r="M1004" s="1986"/>
      <c r="N1004" s="1986"/>
      <c r="O1004" s="1986"/>
      <c r="P1004" s="1986"/>
      <c r="Q1004" s="1986"/>
      <c r="R1004" s="1986"/>
      <c r="S1004" s="1986"/>
      <c r="T1004" s="1986"/>
      <c r="U1004" s="1986"/>
      <c r="V1004" s="1986"/>
      <c r="W1004" s="1986"/>
      <c r="X1004" s="1986"/>
      <c r="Y1004" s="1986"/>
      <c r="Z1004" s="1986"/>
      <c r="AA1004" s="1986"/>
      <c r="AB1004" s="1986"/>
      <c r="AC1004" s="1986"/>
      <c r="AD1004" s="1986"/>
      <c r="AE1004" s="1987"/>
      <c r="AF1004" s="117"/>
      <c r="AG1004" s="2041" t="s">
        <v>580</v>
      </c>
      <c r="AH1004" s="2042"/>
      <c r="AI1004" s="125"/>
      <c r="AJ1004" s="2000">
        <f>'Sources and Uses Budget'!C85</f>
        <v>1945957</v>
      </c>
      <c r="AK1004" s="2001"/>
      <c r="AL1004" s="2001"/>
      <c r="AM1004" s="2001"/>
      <c r="AN1004" s="2001"/>
      <c r="AO1004" s="2001"/>
      <c r="AP1004" s="2001"/>
      <c r="AQ1004" s="2002"/>
      <c r="AR1004" s="1504"/>
      <c r="AS1004" s="1504"/>
      <c r="AT1004" s="1504"/>
      <c r="AU1004" s="1504"/>
      <c r="AV1004" s="1504"/>
      <c r="AW1004" s="1504"/>
      <c r="AX1004" s="1504"/>
      <c r="AY1004" s="1504"/>
      <c r="BA1004" s="321">
        <f>IF(A1078="Yes",0.02,0)</f>
        <v>0</v>
      </c>
    </row>
    <row r="1005" spans="1:96" ht="12.75" customHeight="1">
      <c r="A1005" s="51"/>
      <c r="B1005" s="110"/>
      <c r="C1005" s="111"/>
      <c r="D1005" s="1967" t="s">
        <v>2197</v>
      </c>
      <c r="E1005" s="1968"/>
      <c r="F1005" s="1968"/>
      <c r="G1005" s="1968"/>
      <c r="H1005" s="1968"/>
      <c r="I1005" s="1968"/>
      <c r="J1005" s="1968"/>
      <c r="K1005" s="1968"/>
      <c r="L1005" s="1968"/>
      <c r="M1005" s="1968"/>
      <c r="N1005" s="1968"/>
      <c r="O1005" s="1968"/>
      <c r="P1005" s="1968"/>
      <c r="Q1005" s="1968"/>
      <c r="R1005" s="1968"/>
      <c r="S1005" s="1968"/>
      <c r="T1005" s="1968"/>
      <c r="U1005" s="1968"/>
      <c r="V1005" s="1968"/>
      <c r="W1005" s="1968"/>
      <c r="X1005" s="1968"/>
      <c r="Y1005" s="1968"/>
      <c r="Z1005" s="1968"/>
      <c r="AA1005" s="1968"/>
      <c r="AB1005" s="1968"/>
      <c r="AC1005" s="1968"/>
      <c r="AD1005" s="1968"/>
      <c r="AE1005" s="1969"/>
      <c r="AF1005" s="2015" t="str">
        <f>IF(AG1004="yes","Please Enter Amount:",0)</f>
        <v>Please Enter Amount:</v>
      </c>
      <c r="AG1005" s="2016"/>
      <c r="AH1005" s="2016"/>
      <c r="AI1005" s="2017"/>
      <c r="AJ1005" s="2003"/>
      <c r="AK1005" s="2004"/>
      <c r="AL1005" s="2004"/>
      <c r="AM1005" s="2004"/>
      <c r="AN1005" s="2004"/>
      <c r="AO1005" s="2004"/>
      <c r="AP1005" s="2004"/>
      <c r="AQ1005" s="2005"/>
      <c r="AR1005" s="1504"/>
      <c r="AS1005" s="1504"/>
      <c r="AT1005" s="1504"/>
      <c r="AU1005" s="1504"/>
      <c r="AV1005" s="1504"/>
      <c r="AW1005" s="1504"/>
      <c r="AX1005" s="1504"/>
      <c r="AY1005" s="1504"/>
      <c r="BA1005" s="322">
        <f>IF(A1082="Yes",0.02,0)</f>
        <v>0</v>
      </c>
    </row>
    <row r="1006" spans="1:96" ht="12.75" customHeight="1">
      <c r="A1006" s="51"/>
      <c r="B1006" s="110"/>
      <c r="C1006" s="111"/>
      <c r="D1006" s="1967"/>
      <c r="E1006" s="1968"/>
      <c r="F1006" s="1968"/>
      <c r="G1006" s="1968"/>
      <c r="H1006" s="1968"/>
      <c r="I1006" s="1968"/>
      <c r="J1006" s="1968"/>
      <c r="K1006" s="1968"/>
      <c r="L1006" s="1968"/>
      <c r="M1006" s="1968"/>
      <c r="N1006" s="1968"/>
      <c r="O1006" s="1968"/>
      <c r="P1006" s="1968"/>
      <c r="Q1006" s="1968"/>
      <c r="R1006" s="1968"/>
      <c r="S1006" s="1968"/>
      <c r="T1006" s="1968"/>
      <c r="U1006" s="1968"/>
      <c r="V1006" s="1968"/>
      <c r="W1006" s="1968"/>
      <c r="X1006" s="1968"/>
      <c r="Y1006" s="1968"/>
      <c r="Z1006" s="1968"/>
      <c r="AA1006" s="1968"/>
      <c r="AB1006" s="1968"/>
      <c r="AC1006" s="1968"/>
      <c r="AD1006" s="1968"/>
      <c r="AE1006" s="1969"/>
      <c r="AF1006" s="2015"/>
      <c r="AG1006" s="2016"/>
      <c r="AH1006" s="2016"/>
      <c r="AI1006" s="2017"/>
      <c r="AJ1006" s="2003"/>
      <c r="AK1006" s="2004"/>
      <c r="AL1006" s="2004"/>
      <c r="AM1006" s="2004"/>
      <c r="AN1006" s="2004"/>
      <c r="AO1006" s="2004"/>
      <c r="AP1006" s="2004"/>
      <c r="AQ1006" s="2005"/>
      <c r="AR1006" s="1504"/>
      <c r="AS1006" s="1504"/>
      <c r="AT1006" s="1504"/>
      <c r="AU1006" s="1504"/>
      <c r="AV1006" s="1504"/>
      <c r="AW1006" s="1504"/>
      <c r="AX1006" s="1504"/>
      <c r="AY1006" s="1504"/>
    </row>
    <row r="1007" spans="1:96" ht="12.75" customHeight="1">
      <c r="A1007" s="51"/>
      <c r="B1007" s="123"/>
      <c r="C1007" s="122"/>
      <c r="D1007" s="1970"/>
      <c r="E1007" s="1971"/>
      <c r="F1007" s="1971"/>
      <c r="G1007" s="1971"/>
      <c r="H1007" s="1971"/>
      <c r="I1007" s="1971"/>
      <c r="J1007" s="1971"/>
      <c r="K1007" s="1971"/>
      <c r="L1007" s="1971"/>
      <c r="M1007" s="1971"/>
      <c r="N1007" s="1971"/>
      <c r="O1007" s="1971"/>
      <c r="P1007" s="1971"/>
      <c r="Q1007" s="1971"/>
      <c r="R1007" s="1971"/>
      <c r="S1007" s="1971"/>
      <c r="T1007" s="1971"/>
      <c r="U1007" s="1971"/>
      <c r="V1007" s="1971"/>
      <c r="W1007" s="1971"/>
      <c r="X1007" s="1971"/>
      <c r="Y1007" s="1971"/>
      <c r="Z1007" s="1971"/>
      <c r="AA1007" s="1971"/>
      <c r="AB1007" s="1971"/>
      <c r="AC1007" s="1971"/>
      <c r="AD1007" s="1971"/>
      <c r="AE1007" s="1972"/>
      <c r="AF1007" s="2018"/>
      <c r="AG1007" s="2019"/>
      <c r="AH1007" s="2019"/>
      <c r="AI1007" s="2020"/>
      <c r="AJ1007" s="2006"/>
      <c r="AK1007" s="2007"/>
      <c r="AL1007" s="2007"/>
      <c r="AM1007" s="2007"/>
      <c r="AN1007" s="2007"/>
      <c r="AO1007" s="2007"/>
      <c r="AP1007" s="2007"/>
      <c r="AQ1007" s="2008"/>
      <c r="AR1007" s="1504"/>
      <c r="AS1007" s="1504"/>
      <c r="AT1007" s="1504"/>
      <c r="AU1007" s="1504"/>
      <c r="AV1007" s="1504"/>
      <c r="AW1007" s="1504"/>
      <c r="AX1007" s="1504"/>
      <c r="AY1007" s="1504"/>
    </row>
    <row r="1008" spans="1:96" s="720" customFormat="1" ht="12.75" customHeight="1">
      <c r="A1008" s="51"/>
      <c r="B1008" s="117"/>
      <c r="C1008" s="118" t="s">
        <v>241</v>
      </c>
      <c r="D1008" s="1964" t="s">
        <v>1552</v>
      </c>
      <c r="E1008" s="1965"/>
      <c r="F1008" s="1965"/>
      <c r="G1008" s="1965"/>
      <c r="H1008" s="1965"/>
      <c r="I1008" s="1965"/>
      <c r="J1008" s="1965"/>
      <c r="K1008" s="1965"/>
      <c r="L1008" s="1965"/>
      <c r="M1008" s="1965"/>
      <c r="N1008" s="1965"/>
      <c r="O1008" s="1965"/>
      <c r="P1008" s="1965"/>
      <c r="Q1008" s="1965"/>
      <c r="R1008" s="1965"/>
      <c r="S1008" s="1965"/>
      <c r="T1008" s="1965"/>
      <c r="U1008" s="1965"/>
      <c r="V1008" s="1965"/>
      <c r="W1008" s="1965"/>
      <c r="X1008" s="1965"/>
      <c r="Y1008" s="1965"/>
      <c r="Z1008" s="1965"/>
      <c r="AA1008" s="1965"/>
      <c r="AB1008" s="1965"/>
      <c r="AC1008" s="1965"/>
      <c r="AD1008" s="1965"/>
      <c r="AE1008" s="1966"/>
      <c r="AF1008" s="117"/>
      <c r="AG1008" s="2041" t="s">
        <v>708</v>
      </c>
      <c r="AH1008" s="2042"/>
      <c r="AI1008" s="125"/>
      <c r="AJ1008" s="1991">
        <f>ROUND(IF(AG1008="yes",(AJ975*0.1),0),0)</f>
        <v>0</v>
      </c>
      <c r="AK1008" s="1992"/>
      <c r="AL1008" s="1992"/>
      <c r="AM1008" s="1992"/>
      <c r="AN1008" s="1992"/>
      <c r="AO1008" s="1992"/>
      <c r="AP1008" s="1992"/>
      <c r="AQ1008" s="1993"/>
      <c r="AR1008" s="1504"/>
      <c r="AS1008" s="1504"/>
      <c r="AT1008" s="1504"/>
      <c r="AU1008" s="1504"/>
      <c r="AV1008" s="1504"/>
      <c r="AW1008" s="1504"/>
      <c r="AX1008" s="1504"/>
      <c r="AY1008" s="1504"/>
      <c r="CR1008" s="25"/>
    </row>
    <row r="1009" spans="1:96" ht="12.75" customHeight="1">
      <c r="A1009" s="51"/>
      <c r="B1009" s="110"/>
      <c r="C1009" s="111"/>
      <c r="D1009" s="1967" t="s">
        <v>1553</v>
      </c>
      <c r="E1009" s="1968"/>
      <c r="F1009" s="1968"/>
      <c r="G1009" s="1968"/>
      <c r="H1009" s="1968"/>
      <c r="I1009" s="1968"/>
      <c r="J1009" s="1968"/>
      <c r="K1009" s="1968"/>
      <c r="L1009" s="1968"/>
      <c r="M1009" s="1968"/>
      <c r="N1009" s="1968"/>
      <c r="O1009" s="1968"/>
      <c r="P1009" s="1968"/>
      <c r="Q1009" s="1968"/>
      <c r="R1009" s="1968"/>
      <c r="S1009" s="1968"/>
      <c r="T1009" s="1968"/>
      <c r="U1009" s="1968"/>
      <c r="V1009" s="1968"/>
      <c r="W1009" s="1968"/>
      <c r="X1009" s="1968"/>
      <c r="Y1009" s="1968"/>
      <c r="Z1009" s="1968"/>
      <c r="AA1009" s="1968"/>
      <c r="AB1009" s="1968"/>
      <c r="AC1009" s="1968"/>
      <c r="AD1009" s="1968"/>
      <c r="AE1009" s="1969"/>
      <c r="AF1009" s="110"/>
      <c r="AG1009" s="112"/>
      <c r="AH1009" s="112"/>
      <c r="AI1009" s="121"/>
      <c r="AJ1009" s="1994"/>
      <c r="AK1009" s="1995"/>
      <c r="AL1009" s="1995"/>
      <c r="AM1009" s="1995"/>
      <c r="AN1009" s="1995"/>
      <c r="AO1009" s="1995"/>
      <c r="AP1009" s="1995"/>
      <c r="AQ1009" s="1996"/>
      <c r="AR1009" s="1504"/>
      <c r="AS1009" s="1504"/>
      <c r="AT1009" s="1504"/>
      <c r="AU1009" s="1504"/>
      <c r="AV1009" s="1504"/>
      <c r="AW1009" s="1504"/>
      <c r="AX1009" s="1504"/>
      <c r="AY1009" s="1504"/>
    </row>
    <row r="1010" spans="1:96" ht="12.75" customHeight="1">
      <c r="A1010" s="51"/>
      <c r="B1010" s="115"/>
      <c r="C1010" s="111"/>
      <c r="D1010" s="1970"/>
      <c r="E1010" s="1971"/>
      <c r="F1010" s="1971"/>
      <c r="G1010" s="1971"/>
      <c r="H1010" s="1971"/>
      <c r="I1010" s="1971"/>
      <c r="J1010" s="1971"/>
      <c r="K1010" s="1971"/>
      <c r="L1010" s="1971"/>
      <c r="M1010" s="1971"/>
      <c r="N1010" s="1971"/>
      <c r="O1010" s="1971"/>
      <c r="P1010" s="1971"/>
      <c r="Q1010" s="1971"/>
      <c r="R1010" s="1971"/>
      <c r="S1010" s="1971"/>
      <c r="T1010" s="1971"/>
      <c r="U1010" s="1971"/>
      <c r="V1010" s="1971"/>
      <c r="W1010" s="1971"/>
      <c r="X1010" s="1971"/>
      <c r="Y1010" s="1971"/>
      <c r="Z1010" s="1971"/>
      <c r="AA1010" s="1971"/>
      <c r="AB1010" s="1971"/>
      <c r="AC1010" s="1971"/>
      <c r="AD1010" s="1971"/>
      <c r="AE1010" s="1972"/>
      <c r="AF1010" s="110"/>
      <c r="AG1010" s="112"/>
      <c r="AH1010" s="112"/>
      <c r="AI1010" s="121"/>
      <c r="AJ1010" s="1997"/>
      <c r="AK1010" s="1998"/>
      <c r="AL1010" s="1998"/>
      <c r="AM1010" s="1998"/>
      <c r="AN1010" s="1998"/>
      <c r="AO1010" s="1998"/>
      <c r="AP1010" s="1998"/>
      <c r="AQ1010" s="1999"/>
      <c r="AR1010" s="1504"/>
      <c r="AS1010" s="1504"/>
      <c r="AT1010" s="1504"/>
      <c r="AU1010" s="1504"/>
      <c r="AV1010" s="1504"/>
      <c r="AW1010" s="1504"/>
      <c r="AX1010" s="1504"/>
      <c r="AY1010" s="1504"/>
    </row>
    <row r="1011" spans="1:96" s="720" customFormat="1" ht="12.75" customHeight="1">
      <c r="A1011" s="51"/>
      <c r="B1011" s="110"/>
      <c r="C1011" s="532" t="s">
        <v>727</v>
      </c>
      <c r="D1011" s="1985" t="s">
        <v>2193</v>
      </c>
      <c r="E1011" s="1986"/>
      <c r="F1011" s="1986"/>
      <c r="G1011" s="1986"/>
      <c r="H1011" s="1986"/>
      <c r="I1011" s="1986"/>
      <c r="J1011" s="1986"/>
      <c r="K1011" s="1986"/>
      <c r="L1011" s="1986"/>
      <c r="M1011" s="1986"/>
      <c r="N1011" s="1986"/>
      <c r="O1011" s="1986"/>
      <c r="P1011" s="1986"/>
      <c r="Q1011" s="1986"/>
      <c r="R1011" s="1986"/>
      <c r="S1011" s="1986"/>
      <c r="T1011" s="1986"/>
      <c r="U1011" s="1986"/>
      <c r="V1011" s="1986"/>
      <c r="W1011" s="1986"/>
      <c r="X1011" s="1986"/>
      <c r="Y1011" s="1986"/>
      <c r="Z1011" s="1986"/>
      <c r="AA1011" s="1986"/>
      <c r="AB1011" s="1986"/>
      <c r="AC1011" s="1986"/>
      <c r="AD1011" s="1986"/>
      <c r="AE1011" s="1987"/>
      <c r="AF1011" s="117"/>
      <c r="AG1011" s="2041" t="s">
        <v>708</v>
      </c>
      <c r="AH1011" s="2042"/>
      <c r="AI1011" s="125"/>
      <c r="AJ1011" s="1991">
        <f>ROUND(IF(AG1011="yes",(AJ975*0.15),0),0)</f>
        <v>0</v>
      </c>
      <c r="AK1011" s="1992"/>
      <c r="AL1011" s="1992"/>
      <c r="AM1011" s="1992"/>
      <c r="AN1011" s="1992"/>
      <c r="AO1011" s="1992"/>
      <c r="AP1011" s="1992"/>
      <c r="AQ1011" s="1993"/>
      <c r="AR1011" s="1504"/>
      <c r="AS1011" s="1504"/>
      <c r="AT1011" s="1504"/>
      <c r="AU1011" s="1504"/>
      <c r="AV1011" s="1504"/>
      <c r="AW1011" s="1504"/>
      <c r="AX1011" s="1504"/>
      <c r="AY1011" s="1504"/>
      <c r="CR1011" s="25"/>
    </row>
    <row r="1012" spans="1:96" s="720" customFormat="1" ht="12.75" customHeight="1">
      <c r="A1012" s="51"/>
      <c r="B1012" s="110"/>
      <c r="C1012" s="111"/>
      <c r="D1012" s="2050" t="s">
        <v>2194</v>
      </c>
      <c r="E1012" s="2051"/>
      <c r="F1012" s="2051"/>
      <c r="G1012" s="2051"/>
      <c r="H1012" s="2051"/>
      <c r="I1012" s="2051"/>
      <c r="J1012" s="2051"/>
      <c r="K1012" s="2051"/>
      <c r="L1012" s="2051"/>
      <c r="M1012" s="2051"/>
      <c r="N1012" s="2051"/>
      <c r="O1012" s="2051"/>
      <c r="P1012" s="2051"/>
      <c r="Q1012" s="2051"/>
      <c r="R1012" s="2051"/>
      <c r="S1012" s="2051"/>
      <c r="T1012" s="2051"/>
      <c r="U1012" s="2051"/>
      <c r="V1012" s="2051"/>
      <c r="W1012" s="2051"/>
      <c r="X1012" s="2051"/>
      <c r="Y1012" s="2051"/>
      <c r="Z1012" s="2051"/>
      <c r="AA1012" s="2051"/>
      <c r="AB1012" s="2051"/>
      <c r="AC1012" s="2051"/>
      <c r="AD1012" s="2051"/>
      <c r="AE1012" s="2052"/>
      <c r="AF1012" s="1534"/>
      <c r="AG1012" s="1535"/>
      <c r="AH1012" s="1535"/>
      <c r="AI1012" s="1536"/>
      <c r="AJ1012" s="1994"/>
      <c r="AK1012" s="1995"/>
      <c r="AL1012" s="1995"/>
      <c r="AM1012" s="1995"/>
      <c r="AN1012" s="1995"/>
      <c r="AO1012" s="1995"/>
      <c r="AP1012" s="1995"/>
      <c r="AQ1012" s="1996"/>
      <c r="AR1012" s="1504"/>
      <c r="AS1012" s="1504"/>
      <c r="AT1012" s="1504"/>
      <c r="AU1012" s="1504"/>
      <c r="AV1012" s="1504"/>
      <c r="AW1012" s="1504"/>
      <c r="AX1012" s="1504"/>
      <c r="AY1012" s="1504"/>
      <c r="CR1012" s="25"/>
    </row>
    <row r="1013" spans="1:96" s="720" customFormat="1" ht="12.75" customHeight="1">
      <c r="A1013" s="51"/>
      <c r="B1013" s="110"/>
      <c r="C1013" s="111"/>
      <c r="D1013" s="2050"/>
      <c r="E1013" s="2051"/>
      <c r="F1013" s="2051"/>
      <c r="G1013" s="2051"/>
      <c r="H1013" s="2051"/>
      <c r="I1013" s="2051"/>
      <c r="J1013" s="2051"/>
      <c r="K1013" s="2051"/>
      <c r="L1013" s="2051"/>
      <c r="M1013" s="2051"/>
      <c r="N1013" s="2051"/>
      <c r="O1013" s="2051"/>
      <c r="P1013" s="2051"/>
      <c r="Q1013" s="2051"/>
      <c r="R1013" s="2051"/>
      <c r="S1013" s="2051"/>
      <c r="T1013" s="2051"/>
      <c r="U1013" s="2051"/>
      <c r="V1013" s="2051"/>
      <c r="W1013" s="2051"/>
      <c r="X1013" s="2051"/>
      <c r="Y1013" s="2051"/>
      <c r="Z1013" s="2051"/>
      <c r="AA1013" s="2051"/>
      <c r="AB1013" s="2051"/>
      <c r="AC1013" s="2051"/>
      <c r="AD1013" s="2051"/>
      <c r="AE1013" s="2052"/>
      <c r="AF1013" s="1534"/>
      <c r="AG1013" s="1535"/>
      <c r="AH1013" s="1535"/>
      <c r="AI1013" s="1536"/>
      <c r="AJ1013" s="1994"/>
      <c r="AK1013" s="1995"/>
      <c r="AL1013" s="1995"/>
      <c r="AM1013" s="1995"/>
      <c r="AN1013" s="1995"/>
      <c r="AO1013" s="1995"/>
      <c r="AP1013" s="1995"/>
      <c r="AQ1013" s="1996"/>
      <c r="AR1013" s="1504"/>
      <c r="AS1013" s="1504"/>
      <c r="AT1013" s="1504"/>
      <c r="AU1013" s="1504"/>
      <c r="AV1013" s="1504"/>
      <c r="AW1013" s="1504"/>
      <c r="AX1013" s="1504"/>
      <c r="AY1013" s="1504"/>
      <c r="CR1013" s="25"/>
    </row>
    <row r="1014" spans="1:96" s="720" customFormat="1" ht="12.75" customHeight="1">
      <c r="A1014" s="51"/>
      <c r="B1014" s="110"/>
      <c r="C1014" s="111"/>
      <c r="D1014" s="2053"/>
      <c r="E1014" s="2054"/>
      <c r="F1014" s="2054"/>
      <c r="G1014" s="2054"/>
      <c r="H1014" s="2054"/>
      <c r="I1014" s="2054"/>
      <c r="J1014" s="2054"/>
      <c r="K1014" s="2054"/>
      <c r="L1014" s="2054"/>
      <c r="M1014" s="2054"/>
      <c r="N1014" s="2054"/>
      <c r="O1014" s="2054"/>
      <c r="P1014" s="2054"/>
      <c r="Q1014" s="2054"/>
      <c r="R1014" s="2054"/>
      <c r="S1014" s="2054"/>
      <c r="T1014" s="2054"/>
      <c r="U1014" s="2054"/>
      <c r="V1014" s="2054"/>
      <c r="W1014" s="2054"/>
      <c r="X1014" s="2054"/>
      <c r="Y1014" s="2054"/>
      <c r="Z1014" s="2054"/>
      <c r="AA1014" s="2054"/>
      <c r="AB1014" s="2054"/>
      <c r="AC1014" s="2054"/>
      <c r="AD1014" s="2054"/>
      <c r="AE1014" s="2055"/>
      <c r="AF1014" s="1537"/>
      <c r="AG1014" s="1538"/>
      <c r="AH1014" s="1538"/>
      <c r="AI1014" s="1539"/>
      <c r="AJ1014" s="1997"/>
      <c r="AK1014" s="1998"/>
      <c r="AL1014" s="1998"/>
      <c r="AM1014" s="1998"/>
      <c r="AN1014" s="1998"/>
      <c r="AO1014" s="1998"/>
      <c r="AP1014" s="1998"/>
      <c r="AQ1014" s="1999"/>
      <c r="AR1014" s="1504"/>
      <c r="AS1014" s="1504"/>
      <c r="AT1014" s="1504"/>
      <c r="AU1014" s="1504"/>
      <c r="AV1014" s="1504"/>
      <c r="AW1014" s="1504"/>
      <c r="AX1014" s="1504"/>
      <c r="AY1014" s="1504"/>
      <c r="CR1014" s="25"/>
    </row>
    <row r="1015" spans="1:96" s="720" customFormat="1" ht="12.75" customHeight="1">
      <c r="A1015" s="51"/>
      <c r="B1015" s="110"/>
      <c r="C1015" s="532" t="s">
        <v>727</v>
      </c>
      <c r="D1015" s="1964" t="s">
        <v>2195</v>
      </c>
      <c r="E1015" s="1965"/>
      <c r="F1015" s="1965"/>
      <c r="G1015" s="1965"/>
      <c r="H1015" s="1965"/>
      <c r="I1015" s="1965"/>
      <c r="J1015" s="1965"/>
      <c r="K1015" s="1965"/>
      <c r="L1015" s="1965"/>
      <c r="M1015" s="1965"/>
      <c r="N1015" s="1965"/>
      <c r="O1015" s="1965"/>
      <c r="P1015" s="1965"/>
      <c r="Q1015" s="1965"/>
      <c r="R1015" s="1965"/>
      <c r="S1015" s="1965"/>
      <c r="T1015" s="1965"/>
      <c r="U1015" s="1965"/>
      <c r="V1015" s="1965"/>
      <c r="W1015" s="1965"/>
      <c r="X1015" s="1965"/>
      <c r="Y1015" s="1965"/>
      <c r="Z1015" s="1965"/>
      <c r="AA1015" s="1965"/>
      <c r="AB1015" s="1965"/>
      <c r="AC1015" s="1965"/>
      <c r="AD1015" s="1965"/>
      <c r="AE1015" s="1966"/>
      <c r="AF1015" s="110"/>
      <c r="AG1015" s="2062" t="s">
        <v>708</v>
      </c>
      <c r="AH1015" s="2063"/>
      <c r="AI1015" s="121"/>
      <c r="AJ1015" s="1991">
        <f>ROUND(IF(AG1015="yes",(AJ975*0.1),0),0)</f>
        <v>0</v>
      </c>
      <c r="AK1015" s="1992"/>
      <c r="AL1015" s="1992"/>
      <c r="AM1015" s="1992"/>
      <c r="AN1015" s="1992"/>
      <c r="AO1015" s="1992"/>
      <c r="AP1015" s="1992"/>
      <c r="AQ1015" s="1993"/>
      <c r="AR1015" s="1504"/>
      <c r="AS1015" s="1504"/>
      <c r="AT1015" s="1504"/>
      <c r="AU1015" s="1504"/>
      <c r="AV1015" s="1504"/>
      <c r="AW1015" s="1504"/>
      <c r="AX1015" s="1504"/>
      <c r="AY1015" s="1504"/>
      <c r="CR1015" s="25"/>
    </row>
    <row r="1016" spans="1:96" s="720" customFormat="1" ht="12.75" customHeight="1">
      <c r="A1016" s="51"/>
      <c r="B1016" s="110"/>
      <c r="C1016" s="111"/>
      <c r="D1016" s="2050" t="s">
        <v>2196</v>
      </c>
      <c r="E1016" s="2051"/>
      <c r="F1016" s="2051"/>
      <c r="G1016" s="2051"/>
      <c r="H1016" s="2051"/>
      <c r="I1016" s="2051"/>
      <c r="J1016" s="2051"/>
      <c r="K1016" s="2051"/>
      <c r="L1016" s="2051"/>
      <c r="M1016" s="2051"/>
      <c r="N1016" s="2051"/>
      <c r="O1016" s="2051"/>
      <c r="P1016" s="2051"/>
      <c r="Q1016" s="2051"/>
      <c r="R1016" s="2051"/>
      <c r="S1016" s="2051"/>
      <c r="T1016" s="2051"/>
      <c r="U1016" s="2051"/>
      <c r="V1016" s="2051"/>
      <c r="W1016" s="2051"/>
      <c r="X1016" s="2051"/>
      <c r="Y1016" s="2051"/>
      <c r="Z1016" s="2051"/>
      <c r="AA1016" s="2051"/>
      <c r="AB1016" s="2051"/>
      <c r="AC1016" s="2051"/>
      <c r="AD1016" s="2051"/>
      <c r="AE1016" s="2052"/>
      <c r="AF1016" s="110"/>
      <c r="AG1016" s="112"/>
      <c r="AH1016" s="112"/>
      <c r="AI1016" s="121"/>
      <c r="AJ1016" s="1994"/>
      <c r="AK1016" s="1995"/>
      <c r="AL1016" s="1995"/>
      <c r="AM1016" s="1995"/>
      <c r="AN1016" s="1995"/>
      <c r="AO1016" s="1995"/>
      <c r="AP1016" s="1995"/>
      <c r="AQ1016" s="1996"/>
      <c r="AR1016" s="1504"/>
      <c r="AS1016" s="1504"/>
      <c r="AT1016" s="1504"/>
      <c r="AU1016" s="1504"/>
      <c r="AV1016" s="1504"/>
      <c r="AW1016" s="1504"/>
      <c r="AX1016" s="1504"/>
      <c r="AY1016" s="1504"/>
      <c r="CR1016" s="25"/>
    </row>
    <row r="1017" spans="1:96" s="720" customFormat="1" ht="12.75" customHeight="1">
      <c r="A1017" s="51"/>
      <c r="B1017" s="110"/>
      <c r="C1017" s="111"/>
      <c r="D1017" s="2050"/>
      <c r="E1017" s="2051"/>
      <c r="F1017" s="2051"/>
      <c r="G1017" s="2051"/>
      <c r="H1017" s="2051"/>
      <c r="I1017" s="2051"/>
      <c r="J1017" s="2051"/>
      <c r="K1017" s="2051"/>
      <c r="L1017" s="2051"/>
      <c r="M1017" s="2051"/>
      <c r="N1017" s="2051"/>
      <c r="O1017" s="2051"/>
      <c r="P1017" s="2051"/>
      <c r="Q1017" s="2051"/>
      <c r="R1017" s="2051"/>
      <c r="S1017" s="2051"/>
      <c r="T1017" s="2051"/>
      <c r="U1017" s="2051"/>
      <c r="V1017" s="2051"/>
      <c r="W1017" s="2051"/>
      <c r="X1017" s="2051"/>
      <c r="Y1017" s="2051"/>
      <c r="Z1017" s="2051"/>
      <c r="AA1017" s="2051"/>
      <c r="AB1017" s="2051"/>
      <c r="AC1017" s="2051"/>
      <c r="AD1017" s="2051"/>
      <c r="AE1017" s="2052"/>
      <c r="AF1017" s="110"/>
      <c r="AG1017" s="112"/>
      <c r="AH1017" s="112"/>
      <c r="AI1017" s="121"/>
      <c r="AJ1017" s="1994"/>
      <c r="AK1017" s="1995"/>
      <c r="AL1017" s="1995"/>
      <c r="AM1017" s="1995"/>
      <c r="AN1017" s="1995"/>
      <c r="AO1017" s="1995"/>
      <c r="AP1017" s="1995"/>
      <c r="AQ1017" s="1996"/>
      <c r="AR1017" s="1504"/>
      <c r="AS1017" s="1504"/>
      <c r="AT1017" s="1504"/>
      <c r="AU1017" s="1504"/>
      <c r="AV1017" s="1504"/>
      <c r="AW1017" s="1504"/>
      <c r="AX1017" s="1504"/>
      <c r="AY1017" s="1504"/>
      <c r="CR1017" s="25"/>
    </row>
    <row r="1018" spans="1:96" s="720" customFormat="1" ht="12.75" customHeight="1">
      <c r="A1018" s="51"/>
      <c r="B1018" s="110"/>
      <c r="C1018" s="111"/>
      <c r="D1018" s="2050"/>
      <c r="E1018" s="2051"/>
      <c r="F1018" s="2051"/>
      <c r="G1018" s="2051"/>
      <c r="H1018" s="2051"/>
      <c r="I1018" s="2051"/>
      <c r="J1018" s="2051"/>
      <c r="K1018" s="2051"/>
      <c r="L1018" s="2051"/>
      <c r="M1018" s="2051"/>
      <c r="N1018" s="2051"/>
      <c r="O1018" s="2051"/>
      <c r="P1018" s="2051"/>
      <c r="Q1018" s="2051"/>
      <c r="R1018" s="2051"/>
      <c r="S1018" s="2051"/>
      <c r="T1018" s="2051"/>
      <c r="U1018" s="2051"/>
      <c r="V1018" s="2051"/>
      <c r="W1018" s="2051"/>
      <c r="X1018" s="2051"/>
      <c r="Y1018" s="2051"/>
      <c r="Z1018" s="2051"/>
      <c r="AA1018" s="2051"/>
      <c r="AB1018" s="2051"/>
      <c r="AC1018" s="2051"/>
      <c r="AD1018" s="2051"/>
      <c r="AE1018" s="2052"/>
      <c r="AF1018" s="110"/>
      <c r="AG1018" s="112"/>
      <c r="AH1018" s="112"/>
      <c r="AI1018" s="121"/>
      <c r="AJ1018" s="1994"/>
      <c r="AK1018" s="1995"/>
      <c r="AL1018" s="1995"/>
      <c r="AM1018" s="1995"/>
      <c r="AN1018" s="1995"/>
      <c r="AO1018" s="1995"/>
      <c r="AP1018" s="1995"/>
      <c r="AQ1018" s="1996"/>
      <c r="AR1018" s="1504"/>
      <c r="AS1018" s="1504"/>
      <c r="AT1018" s="1504"/>
      <c r="AU1018" s="1504"/>
      <c r="AV1018" s="1504"/>
      <c r="AW1018" s="1504"/>
      <c r="AX1018" s="1504"/>
      <c r="AY1018" s="1504"/>
      <c r="CR1018" s="25"/>
    </row>
    <row r="1019" spans="1:96" s="720" customFormat="1" ht="12.75" customHeight="1">
      <c r="A1019" s="51"/>
      <c r="B1019" s="110"/>
      <c r="C1019" s="111"/>
      <c r="D1019" s="2053"/>
      <c r="E1019" s="2054"/>
      <c r="F1019" s="2054"/>
      <c r="G1019" s="2054"/>
      <c r="H1019" s="2054"/>
      <c r="I1019" s="2054"/>
      <c r="J1019" s="2054"/>
      <c r="K1019" s="2054"/>
      <c r="L1019" s="2054"/>
      <c r="M1019" s="2054"/>
      <c r="N1019" s="2054"/>
      <c r="O1019" s="2054"/>
      <c r="P1019" s="2054"/>
      <c r="Q1019" s="2054"/>
      <c r="R1019" s="2054"/>
      <c r="S1019" s="2054"/>
      <c r="T1019" s="2054"/>
      <c r="U1019" s="2054"/>
      <c r="V1019" s="2054"/>
      <c r="W1019" s="2054"/>
      <c r="X1019" s="2054"/>
      <c r="Y1019" s="2054"/>
      <c r="Z1019" s="2054"/>
      <c r="AA1019" s="2054"/>
      <c r="AB1019" s="2054"/>
      <c r="AC1019" s="2054"/>
      <c r="AD1019" s="2054"/>
      <c r="AE1019" s="2055"/>
      <c r="AF1019" s="110"/>
      <c r="AG1019" s="112"/>
      <c r="AH1019" s="112"/>
      <c r="AI1019" s="121"/>
      <c r="AJ1019" s="1994"/>
      <c r="AK1019" s="1995"/>
      <c r="AL1019" s="1995"/>
      <c r="AM1019" s="1995"/>
      <c r="AN1019" s="1995"/>
      <c r="AO1019" s="1995"/>
      <c r="AP1019" s="1995"/>
      <c r="AQ1019" s="1996"/>
      <c r="AR1019" s="1504"/>
      <c r="AS1019" s="1504"/>
      <c r="AT1019" s="1504"/>
      <c r="AU1019" s="1504"/>
      <c r="AV1019" s="1504"/>
      <c r="AW1019" s="1504"/>
      <c r="AX1019" s="1504"/>
      <c r="AY1019" s="1504"/>
      <c r="CR1019" s="25"/>
    </row>
    <row r="1020" spans="1:96" s="720" customFormat="1" ht="12.75" customHeight="1">
      <c r="A1020" s="51"/>
      <c r="B1020" s="117"/>
      <c r="C1020" s="198" t="s">
        <v>1121</v>
      </c>
      <c r="D1020" s="1985" t="s">
        <v>1554</v>
      </c>
      <c r="E1020" s="1986"/>
      <c r="F1020" s="1986"/>
      <c r="G1020" s="1986"/>
      <c r="H1020" s="1986"/>
      <c r="I1020" s="1986"/>
      <c r="J1020" s="1986"/>
      <c r="K1020" s="1986"/>
      <c r="L1020" s="1986"/>
      <c r="M1020" s="1986"/>
      <c r="N1020" s="1986"/>
      <c r="O1020" s="1986"/>
      <c r="P1020" s="1986"/>
      <c r="Q1020" s="1986"/>
      <c r="R1020" s="1986"/>
      <c r="S1020" s="1986"/>
      <c r="T1020" s="1986"/>
      <c r="U1020" s="1986"/>
      <c r="V1020" s="1986"/>
      <c r="W1020" s="1986"/>
      <c r="X1020" s="1986"/>
      <c r="Y1020" s="1986"/>
      <c r="Z1020" s="1986"/>
      <c r="AA1020" s="1986"/>
      <c r="AB1020" s="1986"/>
      <c r="AC1020" s="1986"/>
      <c r="AD1020" s="1986"/>
      <c r="AE1020" s="1987"/>
      <c r="AF1020" s="117"/>
      <c r="AG1020" s="2041" t="s">
        <v>708</v>
      </c>
      <c r="AH1020" s="2042"/>
      <c r="AI1020" s="125"/>
      <c r="AJ1020" s="1991">
        <f>ROUND(IF(AG1020="yes",(AJ975*0.1),0),0)</f>
        <v>0</v>
      </c>
      <c r="AK1020" s="1992"/>
      <c r="AL1020" s="1992"/>
      <c r="AM1020" s="1992"/>
      <c r="AN1020" s="1992"/>
      <c r="AO1020" s="1992"/>
      <c r="AP1020" s="1992"/>
      <c r="AQ1020" s="1993"/>
      <c r="AR1020" s="1504"/>
      <c r="AS1020" s="1504"/>
      <c r="AT1020" s="1504"/>
      <c r="AU1020" s="1504"/>
      <c r="AV1020" s="1504"/>
      <c r="AW1020" s="1504"/>
      <c r="AX1020" s="1504"/>
      <c r="AY1020" s="1504"/>
      <c r="CR1020" s="25"/>
    </row>
    <row r="1021" spans="1:96" ht="12.75" customHeight="1">
      <c r="A1021" s="51"/>
      <c r="B1021" s="110"/>
      <c r="C1021" s="111"/>
      <c r="D1021" s="1967" t="s">
        <v>1555</v>
      </c>
      <c r="E1021" s="1968"/>
      <c r="F1021" s="1968"/>
      <c r="G1021" s="1968"/>
      <c r="H1021" s="1968"/>
      <c r="I1021" s="1968"/>
      <c r="J1021" s="1968"/>
      <c r="K1021" s="1968"/>
      <c r="L1021" s="1968"/>
      <c r="M1021" s="1968"/>
      <c r="N1021" s="1968"/>
      <c r="O1021" s="1968"/>
      <c r="P1021" s="1968"/>
      <c r="Q1021" s="1968"/>
      <c r="R1021" s="1968"/>
      <c r="S1021" s="1968"/>
      <c r="T1021" s="1968"/>
      <c r="U1021" s="1968"/>
      <c r="V1021" s="1968"/>
      <c r="W1021" s="1968"/>
      <c r="X1021" s="1968"/>
      <c r="Y1021" s="1968"/>
      <c r="Z1021" s="1968"/>
      <c r="AA1021" s="1968"/>
      <c r="AB1021" s="1968"/>
      <c r="AC1021" s="1968"/>
      <c r="AD1021" s="1968"/>
      <c r="AE1021" s="1969"/>
      <c r="AF1021" s="110"/>
      <c r="AG1021" s="112"/>
      <c r="AH1021" s="112"/>
      <c r="AI1021" s="121"/>
      <c r="AJ1021" s="1994"/>
      <c r="AK1021" s="1995"/>
      <c r="AL1021" s="1995"/>
      <c r="AM1021" s="1995"/>
      <c r="AN1021" s="1995"/>
      <c r="AO1021" s="1995"/>
      <c r="AP1021" s="1995"/>
      <c r="AQ1021" s="1996"/>
      <c r="AR1021" s="1504"/>
      <c r="AS1021" s="1504"/>
      <c r="AT1021" s="1504"/>
      <c r="AU1021" s="1504"/>
      <c r="AV1021" s="1504"/>
      <c r="AW1021" s="1504"/>
      <c r="AX1021" s="1504"/>
      <c r="AY1021" s="1504"/>
    </row>
    <row r="1022" spans="1:96" ht="12.75" customHeight="1">
      <c r="A1022" s="51"/>
      <c r="B1022" s="110"/>
      <c r="C1022" s="111"/>
      <c r="D1022" s="1967"/>
      <c r="E1022" s="1968"/>
      <c r="F1022" s="1968"/>
      <c r="G1022" s="1968"/>
      <c r="H1022" s="1968"/>
      <c r="I1022" s="1968"/>
      <c r="J1022" s="1968"/>
      <c r="K1022" s="1968"/>
      <c r="L1022" s="1968"/>
      <c r="M1022" s="1968"/>
      <c r="N1022" s="1968"/>
      <c r="O1022" s="1968"/>
      <c r="P1022" s="1968"/>
      <c r="Q1022" s="1968"/>
      <c r="R1022" s="1968"/>
      <c r="S1022" s="1968"/>
      <c r="T1022" s="1968"/>
      <c r="U1022" s="1968"/>
      <c r="V1022" s="1968"/>
      <c r="W1022" s="1968"/>
      <c r="X1022" s="1968"/>
      <c r="Y1022" s="1968"/>
      <c r="Z1022" s="1968"/>
      <c r="AA1022" s="1968"/>
      <c r="AB1022" s="1968"/>
      <c r="AC1022" s="1968"/>
      <c r="AD1022" s="1968"/>
      <c r="AE1022" s="1969"/>
      <c r="AF1022" s="110"/>
      <c r="AG1022" s="112"/>
      <c r="AH1022" s="112"/>
      <c r="AI1022" s="121"/>
      <c r="AJ1022" s="1994"/>
      <c r="AK1022" s="1995"/>
      <c r="AL1022" s="1995"/>
      <c r="AM1022" s="1995"/>
      <c r="AN1022" s="1995"/>
      <c r="AO1022" s="1995"/>
      <c r="AP1022" s="1995"/>
      <c r="AQ1022" s="1996"/>
      <c r="AR1022" s="1504"/>
      <c r="AS1022" s="1504"/>
      <c r="AT1022" s="1504"/>
      <c r="AU1022" s="1504"/>
      <c r="AV1022" s="1504"/>
      <c r="AW1022" s="1504"/>
      <c r="AX1022" s="1504"/>
      <c r="AY1022" s="1504"/>
    </row>
    <row r="1023" spans="1:96" s="683" customFormat="1" ht="12.75" customHeight="1">
      <c r="A1023" s="51"/>
      <c r="B1023" s="110"/>
      <c r="C1023" s="111"/>
      <c r="D1023" s="1970"/>
      <c r="E1023" s="1971"/>
      <c r="F1023" s="1971"/>
      <c r="G1023" s="1971"/>
      <c r="H1023" s="1971"/>
      <c r="I1023" s="1971"/>
      <c r="J1023" s="1971"/>
      <c r="K1023" s="1971"/>
      <c r="L1023" s="1971"/>
      <c r="M1023" s="1971"/>
      <c r="N1023" s="1971"/>
      <c r="O1023" s="1971"/>
      <c r="P1023" s="1971"/>
      <c r="Q1023" s="1971"/>
      <c r="R1023" s="1971"/>
      <c r="S1023" s="1971"/>
      <c r="T1023" s="1971"/>
      <c r="U1023" s="1971"/>
      <c r="V1023" s="1971"/>
      <c r="W1023" s="1971"/>
      <c r="X1023" s="1971"/>
      <c r="Y1023" s="1971"/>
      <c r="Z1023" s="1971"/>
      <c r="AA1023" s="1971"/>
      <c r="AB1023" s="1971"/>
      <c r="AC1023" s="1971"/>
      <c r="AD1023" s="1971"/>
      <c r="AE1023" s="1972"/>
      <c r="AF1023" s="110"/>
      <c r="AG1023" s="112"/>
      <c r="AH1023" s="112"/>
      <c r="AI1023" s="121"/>
      <c r="AJ1023" s="1997"/>
      <c r="AK1023" s="1998"/>
      <c r="AL1023" s="1998"/>
      <c r="AM1023" s="1998"/>
      <c r="AN1023" s="1998"/>
      <c r="AO1023" s="1998"/>
      <c r="AP1023" s="1998"/>
      <c r="AQ1023" s="1999"/>
      <c r="AR1023" s="1504"/>
      <c r="AS1023" s="1504"/>
      <c r="AT1023" s="1504"/>
      <c r="AU1023" s="1504"/>
      <c r="AV1023" s="1504"/>
      <c r="AW1023" s="1504"/>
      <c r="AX1023" s="1504"/>
      <c r="AY1023" s="1504"/>
      <c r="CR1023" s="25"/>
    </row>
    <row r="1024" spans="1:96" ht="12.75" customHeight="1">
      <c r="A1024" s="51"/>
      <c r="B1024" s="117"/>
      <c r="C1024" s="198" t="s">
        <v>2191</v>
      </c>
      <c r="D1024" s="1964" t="s">
        <v>1559</v>
      </c>
      <c r="E1024" s="1965"/>
      <c r="F1024" s="1965"/>
      <c r="G1024" s="1965"/>
      <c r="H1024" s="1965"/>
      <c r="I1024" s="1965"/>
      <c r="J1024" s="1965"/>
      <c r="K1024" s="1965"/>
      <c r="L1024" s="1965"/>
      <c r="M1024" s="1965"/>
      <c r="N1024" s="1965"/>
      <c r="O1024" s="1965"/>
      <c r="P1024" s="1965"/>
      <c r="Q1024" s="1965"/>
      <c r="R1024" s="1965"/>
      <c r="S1024" s="1965"/>
      <c r="T1024" s="1965"/>
      <c r="U1024" s="1965"/>
      <c r="V1024" s="1965"/>
      <c r="W1024" s="1965"/>
      <c r="X1024" s="1965"/>
      <c r="Y1024" s="1965"/>
      <c r="Z1024" s="1965"/>
      <c r="AA1024" s="1965"/>
      <c r="AB1024" s="1965"/>
      <c r="AC1024" s="1965"/>
      <c r="AD1024" s="1965"/>
      <c r="AE1024" s="1966"/>
      <c r="AF1024" s="117"/>
      <c r="AG1024" s="2039" t="str">
        <f>IF(X1027&gt;0,"Yes","No")</f>
        <v>Yes</v>
      </c>
      <c r="AH1024" s="2040"/>
      <c r="AI1024" s="125"/>
      <c r="AJ1024" s="2064">
        <f>IF((X1027=0),0,BA989*AJ975)</f>
        <v>11294706.24</v>
      </c>
      <c r="AK1024" s="2065"/>
      <c r="AL1024" s="2065"/>
      <c r="AM1024" s="2065"/>
      <c r="AN1024" s="2065"/>
      <c r="AO1024" s="2065"/>
      <c r="AP1024" s="2065"/>
      <c r="AQ1024" s="2066"/>
      <c r="AR1024" s="1504"/>
      <c r="AS1024" s="1504"/>
      <c r="AT1024" s="1504"/>
      <c r="AU1024" s="1504"/>
      <c r="AV1024" s="1504"/>
      <c r="AW1024" s="1504"/>
      <c r="AX1024" s="1504"/>
      <c r="AY1024" s="1504"/>
    </row>
    <row r="1025" spans="1:96" ht="12.75" customHeight="1">
      <c r="A1025" s="51"/>
      <c r="B1025" s="110"/>
      <c r="C1025" s="703"/>
      <c r="D1025" s="1967" t="s">
        <v>1558</v>
      </c>
      <c r="E1025" s="1968"/>
      <c r="F1025" s="1968"/>
      <c r="G1025" s="1968"/>
      <c r="H1025" s="1968"/>
      <c r="I1025" s="1968"/>
      <c r="J1025" s="1968"/>
      <c r="K1025" s="1968"/>
      <c r="L1025" s="1968"/>
      <c r="M1025" s="1968"/>
      <c r="N1025" s="1968"/>
      <c r="O1025" s="1968"/>
      <c r="P1025" s="1968"/>
      <c r="Q1025" s="1968"/>
      <c r="R1025" s="1968"/>
      <c r="S1025" s="1968"/>
      <c r="T1025" s="1968"/>
      <c r="U1025" s="1968"/>
      <c r="V1025" s="1968"/>
      <c r="W1025" s="1968"/>
      <c r="X1025" s="1968"/>
      <c r="Y1025" s="1968"/>
      <c r="Z1025" s="1968"/>
      <c r="AA1025" s="1968"/>
      <c r="AB1025" s="1968"/>
      <c r="AC1025" s="1968"/>
      <c r="AD1025" s="1968"/>
      <c r="AE1025" s="1969"/>
      <c r="AF1025" s="110"/>
      <c r="AG1025" s="704"/>
      <c r="AH1025" s="704"/>
      <c r="AI1025" s="121"/>
      <c r="AJ1025" s="2067"/>
      <c r="AK1025" s="2068"/>
      <c r="AL1025" s="2068"/>
      <c r="AM1025" s="2068"/>
      <c r="AN1025" s="2068"/>
      <c r="AO1025" s="2068"/>
      <c r="AP1025" s="2068"/>
      <c r="AQ1025" s="2069"/>
      <c r="AR1025" s="1504"/>
      <c r="AS1025" s="1504"/>
      <c r="AT1025" s="1504"/>
      <c r="AU1025" s="1504"/>
      <c r="AV1025" s="1504"/>
      <c r="AW1025" s="1504"/>
      <c r="AX1025" s="1504"/>
      <c r="AY1025" s="1504"/>
    </row>
    <row r="1026" spans="1:96" ht="12.75" customHeight="1">
      <c r="A1026" s="51"/>
      <c r="B1026" s="110"/>
      <c r="C1026" s="703"/>
      <c r="D1026" s="1967"/>
      <c r="E1026" s="1968"/>
      <c r="F1026" s="1968"/>
      <c r="G1026" s="1968"/>
      <c r="H1026" s="1968"/>
      <c r="I1026" s="1968"/>
      <c r="J1026" s="1968"/>
      <c r="K1026" s="1968"/>
      <c r="L1026" s="1968"/>
      <c r="M1026" s="1968"/>
      <c r="N1026" s="1968"/>
      <c r="O1026" s="1968"/>
      <c r="P1026" s="1968"/>
      <c r="Q1026" s="1968"/>
      <c r="R1026" s="1968"/>
      <c r="S1026" s="1968"/>
      <c r="T1026" s="1968"/>
      <c r="U1026" s="1968"/>
      <c r="V1026" s="1968"/>
      <c r="W1026" s="1968"/>
      <c r="X1026" s="1968"/>
      <c r="Y1026" s="1968"/>
      <c r="Z1026" s="1968"/>
      <c r="AA1026" s="1968"/>
      <c r="AB1026" s="1968"/>
      <c r="AC1026" s="1968"/>
      <c r="AD1026" s="1968"/>
      <c r="AE1026" s="1969"/>
      <c r="AF1026" s="110"/>
      <c r="AG1026" s="704"/>
      <c r="AH1026" s="704"/>
      <c r="AI1026" s="121"/>
      <c r="AJ1026" s="2067"/>
      <c r="AK1026" s="2068"/>
      <c r="AL1026" s="2068"/>
      <c r="AM1026" s="2068"/>
      <c r="AN1026" s="2068"/>
      <c r="AO1026" s="2068"/>
      <c r="AP1026" s="2068"/>
      <c r="AQ1026" s="2069"/>
      <c r="AR1026" s="1504"/>
      <c r="AS1026" s="1504"/>
      <c r="AT1026" s="1504"/>
      <c r="AU1026" s="1504"/>
      <c r="AV1026" s="1504"/>
      <c r="AW1026" s="1504"/>
      <c r="AX1026" s="1504"/>
      <c r="AY1026" s="1504"/>
    </row>
    <row r="1027" spans="1:96" s="720" customFormat="1" ht="12.75" customHeight="1">
      <c r="A1027" s="51"/>
      <c r="B1027" s="115"/>
      <c r="C1027" s="116"/>
      <c r="D1027" s="199" t="s">
        <v>1055</v>
      </c>
      <c r="E1027" s="200"/>
      <c r="F1027" s="200"/>
      <c r="G1027" s="200"/>
      <c r="H1027" s="200"/>
      <c r="I1027" s="2060">
        <f>BA987</f>
        <v>65</v>
      </c>
      <c r="J1027" s="2061"/>
      <c r="K1027" s="11"/>
      <c r="L1027" s="200"/>
      <c r="M1027" s="200"/>
      <c r="N1027" s="200"/>
      <c r="O1027" s="200"/>
      <c r="P1027" s="200"/>
      <c r="Q1027" s="200"/>
      <c r="R1027" s="200"/>
      <c r="S1027" s="200"/>
      <c r="T1027" s="200"/>
      <c r="U1027" s="200"/>
      <c r="V1027" s="201" t="s">
        <v>1056</v>
      </c>
      <c r="W1027" s="80"/>
      <c r="X1027" s="2058">
        <f>BG635</f>
        <v>24</v>
      </c>
      <c r="Y1027" s="2059"/>
      <c r="Z1027" s="80"/>
      <c r="AA1027" s="80"/>
      <c r="AB1027" s="80"/>
      <c r="AC1027" s="80"/>
      <c r="AD1027" s="80"/>
      <c r="AE1027" s="81"/>
      <c r="AF1027" s="1543"/>
      <c r="AG1027" s="1544"/>
      <c r="AH1027" s="1544"/>
      <c r="AI1027" s="1545"/>
      <c r="AJ1027" s="2070"/>
      <c r="AK1027" s="2071"/>
      <c r="AL1027" s="2071"/>
      <c r="AM1027" s="2071"/>
      <c r="AN1027" s="2071"/>
      <c r="AO1027" s="2071"/>
      <c r="AP1027" s="2071"/>
      <c r="AQ1027" s="2072"/>
      <c r="AR1027" s="1504"/>
      <c r="AS1027" s="1504"/>
      <c r="AT1027" s="1504"/>
      <c r="AU1027" s="1504"/>
      <c r="AV1027" s="1504"/>
      <c r="AW1027" s="1504"/>
      <c r="AX1027" s="1504"/>
      <c r="AY1027" s="1504"/>
      <c r="CR1027" s="25"/>
    </row>
    <row r="1028" spans="1:96" ht="12.75" customHeight="1">
      <c r="A1028" s="51"/>
      <c r="B1028" s="117"/>
      <c r="C1028" s="198" t="s">
        <v>2192</v>
      </c>
      <c r="D1028" s="1985" t="s">
        <v>1557</v>
      </c>
      <c r="E1028" s="1986"/>
      <c r="F1028" s="1986"/>
      <c r="G1028" s="1986"/>
      <c r="H1028" s="1986"/>
      <c r="I1028" s="1986"/>
      <c r="J1028" s="1986"/>
      <c r="K1028" s="1986"/>
      <c r="L1028" s="1986"/>
      <c r="M1028" s="1986"/>
      <c r="N1028" s="1986"/>
      <c r="O1028" s="1986"/>
      <c r="P1028" s="1986"/>
      <c r="Q1028" s="1986"/>
      <c r="R1028" s="1986"/>
      <c r="S1028" s="1986"/>
      <c r="T1028" s="1986"/>
      <c r="U1028" s="1986"/>
      <c r="V1028" s="1986"/>
      <c r="W1028" s="1986"/>
      <c r="X1028" s="1986"/>
      <c r="Y1028" s="1986"/>
      <c r="Z1028" s="1986"/>
      <c r="AA1028" s="1986"/>
      <c r="AB1028" s="1986"/>
      <c r="AC1028" s="1986"/>
      <c r="AD1028" s="1986"/>
      <c r="AE1028" s="1987"/>
      <c r="AF1028" s="110"/>
      <c r="AG1028" s="2039" t="str">
        <f>IF(X1031&gt;0,"Yes","No")</f>
        <v>Yes</v>
      </c>
      <c r="AH1028" s="2040"/>
      <c r="AI1028" s="121"/>
      <c r="AJ1028" s="2064">
        <f>IF((X1031=0),0,(2*BA990)*AJ975)</f>
        <v>6274836.8000000007</v>
      </c>
      <c r="AK1028" s="2065"/>
      <c r="AL1028" s="2065"/>
      <c r="AM1028" s="2065"/>
      <c r="AN1028" s="2065"/>
      <c r="AO1028" s="2065"/>
      <c r="AP1028" s="2065"/>
      <c r="AQ1028" s="2066"/>
      <c r="AR1028" s="1504"/>
      <c r="AS1028" s="1504"/>
      <c r="AT1028" s="1504"/>
      <c r="AU1028" s="1504"/>
      <c r="AV1028" s="1504"/>
      <c r="AW1028" s="1504"/>
      <c r="AX1028" s="1504"/>
      <c r="AY1028" s="1504"/>
    </row>
    <row r="1029" spans="1:96" ht="12.75" customHeight="1">
      <c r="A1029" s="51"/>
      <c r="B1029" s="110"/>
      <c r="C1029" s="703"/>
      <c r="D1029" s="1967" t="s">
        <v>1556</v>
      </c>
      <c r="E1029" s="1968"/>
      <c r="F1029" s="1968"/>
      <c r="G1029" s="1968"/>
      <c r="H1029" s="1968"/>
      <c r="I1029" s="1968"/>
      <c r="J1029" s="1968"/>
      <c r="K1029" s="1968"/>
      <c r="L1029" s="1968"/>
      <c r="M1029" s="1968"/>
      <c r="N1029" s="1968"/>
      <c r="O1029" s="1968"/>
      <c r="P1029" s="1968"/>
      <c r="Q1029" s="1968"/>
      <c r="R1029" s="1968"/>
      <c r="S1029" s="1968"/>
      <c r="T1029" s="1968"/>
      <c r="U1029" s="1968"/>
      <c r="V1029" s="1968"/>
      <c r="W1029" s="1968"/>
      <c r="X1029" s="1968"/>
      <c r="Y1029" s="1968"/>
      <c r="Z1029" s="1968"/>
      <c r="AA1029" s="1968"/>
      <c r="AB1029" s="1968"/>
      <c r="AC1029" s="1968"/>
      <c r="AD1029" s="1968"/>
      <c r="AE1029" s="1969"/>
      <c r="AF1029" s="110"/>
      <c r="AG1029" s="704"/>
      <c r="AH1029" s="704"/>
      <c r="AI1029" s="121"/>
      <c r="AJ1029" s="2067"/>
      <c r="AK1029" s="2068"/>
      <c r="AL1029" s="2068"/>
      <c r="AM1029" s="2068"/>
      <c r="AN1029" s="2068"/>
      <c r="AO1029" s="2068"/>
      <c r="AP1029" s="2068"/>
      <c r="AQ1029" s="2069"/>
      <c r="AR1029" s="1504"/>
      <c r="AS1029" s="1504"/>
      <c r="AT1029" s="1504"/>
      <c r="AU1029" s="1504"/>
      <c r="AV1029" s="1504"/>
      <c r="AW1029" s="1504"/>
      <c r="AX1029" s="1504"/>
      <c r="AY1029" s="1504"/>
    </row>
    <row r="1030" spans="1:96" ht="12.75" customHeight="1">
      <c r="A1030" s="51"/>
      <c r="B1030" s="110"/>
      <c r="C1030" s="121"/>
      <c r="D1030" s="1967"/>
      <c r="E1030" s="1968"/>
      <c r="F1030" s="1968"/>
      <c r="G1030" s="1968"/>
      <c r="H1030" s="1968"/>
      <c r="I1030" s="1968"/>
      <c r="J1030" s="1968"/>
      <c r="K1030" s="1968"/>
      <c r="L1030" s="1968"/>
      <c r="M1030" s="1968"/>
      <c r="N1030" s="1968"/>
      <c r="O1030" s="1968"/>
      <c r="P1030" s="1968"/>
      <c r="Q1030" s="1968"/>
      <c r="R1030" s="1968"/>
      <c r="S1030" s="1968"/>
      <c r="T1030" s="1968"/>
      <c r="U1030" s="1968"/>
      <c r="V1030" s="1968"/>
      <c r="W1030" s="1968"/>
      <c r="X1030" s="1968"/>
      <c r="Y1030" s="1968"/>
      <c r="Z1030" s="1968"/>
      <c r="AA1030" s="1968"/>
      <c r="AB1030" s="1968"/>
      <c r="AC1030" s="1968"/>
      <c r="AD1030" s="1968"/>
      <c r="AE1030" s="1969"/>
      <c r="AF1030" s="1540"/>
      <c r="AG1030" s="1541"/>
      <c r="AH1030" s="1541"/>
      <c r="AI1030" s="1542"/>
      <c r="AJ1030" s="2067"/>
      <c r="AK1030" s="2068"/>
      <c r="AL1030" s="2068"/>
      <c r="AM1030" s="2068"/>
      <c r="AN1030" s="2068"/>
      <c r="AO1030" s="2068"/>
      <c r="AP1030" s="2068"/>
      <c r="AQ1030" s="2069"/>
      <c r="AR1030" s="1504"/>
      <c r="AS1030" s="1504"/>
      <c r="AT1030" s="1504"/>
      <c r="AU1030" s="1504"/>
      <c r="AV1030" s="1504"/>
      <c r="AW1030" s="1504"/>
      <c r="AX1030" s="1504"/>
      <c r="AY1030" s="1504"/>
    </row>
    <row r="1031" spans="1:96" s="720" customFormat="1" ht="12.75" customHeight="1">
      <c r="A1031" s="51"/>
      <c r="B1031" s="115"/>
      <c r="C1031" s="116"/>
      <c r="D1031" s="199" t="s">
        <v>1055</v>
      </c>
      <c r="E1031" s="200"/>
      <c r="F1031" s="200"/>
      <c r="G1031" s="200"/>
      <c r="H1031" s="200"/>
      <c r="I1031" s="2060">
        <f>BA987</f>
        <v>65</v>
      </c>
      <c r="J1031" s="2061"/>
      <c r="K1031" s="51"/>
      <c r="L1031" s="200"/>
      <c r="M1031" s="200"/>
      <c r="N1031" s="200"/>
      <c r="O1031" s="200"/>
      <c r="P1031" s="200"/>
      <c r="Q1031" s="200"/>
      <c r="R1031" s="200"/>
      <c r="S1031" s="200"/>
      <c r="T1031" s="200"/>
      <c r="U1031" s="200"/>
      <c r="V1031" s="201" t="s">
        <v>1057</v>
      </c>
      <c r="X1031" s="2058">
        <f>BK635</f>
        <v>7</v>
      </c>
      <c r="Y1031" s="2059"/>
      <c r="AF1031" s="1543"/>
      <c r="AG1031" s="1544"/>
      <c r="AH1031" s="1544"/>
      <c r="AI1031" s="1545"/>
      <c r="AJ1031" s="2070"/>
      <c r="AK1031" s="2071"/>
      <c r="AL1031" s="2071"/>
      <c r="AM1031" s="2071"/>
      <c r="AN1031" s="2071"/>
      <c r="AO1031" s="2071"/>
      <c r="AP1031" s="2071"/>
      <c r="AQ1031" s="2072"/>
      <c r="AR1031" s="1504"/>
      <c r="AS1031" s="1504"/>
      <c r="AT1031" s="1504"/>
      <c r="AU1031" s="1504"/>
      <c r="AV1031" s="1504"/>
      <c r="AW1031" s="1504"/>
      <c r="AX1031" s="1504"/>
      <c r="AY1031" s="1504"/>
      <c r="CR1031" s="25"/>
    </row>
    <row r="1032" spans="1:96" ht="12.75" customHeight="1">
      <c r="A1032" s="51"/>
      <c r="B1032" s="158"/>
      <c r="C1032" s="159"/>
      <c r="D1032" s="2056" t="s">
        <v>548</v>
      </c>
      <c r="E1032" s="2056"/>
      <c r="F1032" s="2056"/>
      <c r="G1032" s="2056"/>
      <c r="H1032" s="2056"/>
      <c r="I1032" s="2056"/>
      <c r="J1032" s="2056"/>
      <c r="K1032" s="2056"/>
      <c r="L1032" s="2056"/>
      <c r="M1032" s="2056"/>
      <c r="N1032" s="2056"/>
      <c r="O1032" s="2056"/>
      <c r="P1032" s="2056"/>
      <c r="Q1032" s="2056"/>
      <c r="R1032" s="2056"/>
      <c r="S1032" s="2056"/>
      <c r="T1032" s="2056"/>
      <c r="U1032" s="2056"/>
      <c r="V1032" s="2056"/>
      <c r="W1032" s="2056"/>
      <c r="X1032" s="2056"/>
      <c r="Y1032" s="2056"/>
      <c r="Z1032" s="2056"/>
      <c r="AA1032" s="2056"/>
      <c r="AB1032" s="2056"/>
      <c r="AC1032" s="2056"/>
      <c r="AD1032" s="2056"/>
      <c r="AE1032" s="2056"/>
      <c r="AF1032" s="2056"/>
      <c r="AG1032" s="2056"/>
      <c r="AH1032" s="2056"/>
      <c r="AI1032" s="2057"/>
      <c r="AJ1032" s="2073">
        <f>SUM(AJ975:AQ1031)</f>
        <v>57164521.040000007</v>
      </c>
      <c r="AK1032" s="2074"/>
      <c r="AL1032" s="2074"/>
      <c r="AM1032" s="2074"/>
      <c r="AN1032" s="2074"/>
      <c r="AO1032" s="2074"/>
      <c r="AP1032" s="2074"/>
      <c r="AQ1032" s="2075"/>
      <c r="AR1032" s="1504"/>
      <c r="AS1032" s="1504"/>
      <c r="AT1032" s="1504"/>
      <c r="AU1032" s="1504"/>
      <c r="AV1032" s="1504"/>
      <c r="AW1032" s="1504"/>
      <c r="AX1032" s="1504"/>
      <c r="AY1032" s="1504"/>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04"/>
      <c r="AN1033" s="1504"/>
      <c r="AO1033" s="1504"/>
      <c r="AP1033" s="1504"/>
      <c r="AQ1033" s="1504"/>
      <c r="AR1033" s="1504"/>
      <c r="AS1033" s="1504"/>
      <c r="AT1033" s="1504"/>
      <c r="AU1033" s="1504"/>
      <c r="AV1033" s="1504"/>
      <c r="AW1033" s="1504"/>
      <c r="AX1033" s="1504"/>
      <c r="AY1033" s="1504"/>
    </row>
    <row r="1034" spans="1:96" ht="12.75" customHeight="1">
      <c r="A1034" s="51"/>
      <c r="B1034" s="2451" t="s">
        <v>1948</v>
      </c>
      <c r="C1034" s="2451"/>
      <c r="D1034" s="2451"/>
      <c r="E1034" s="2451"/>
      <c r="F1034" s="2451"/>
      <c r="G1034" s="2451"/>
      <c r="H1034" s="2451"/>
      <c r="I1034" s="2451"/>
      <c r="J1034" s="2451"/>
      <c r="K1034" s="2451"/>
      <c r="L1034" s="2451"/>
      <c r="M1034" s="2451"/>
      <c r="N1034" s="2451"/>
      <c r="O1034" s="2451"/>
      <c r="P1034" s="2451"/>
      <c r="Q1034" s="2451"/>
      <c r="R1034" s="2451"/>
      <c r="S1034" s="2451"/>
      <c r="T1034" s="2451"/>
      <c r="U1034" s="2451"/>
      <c r="V1034" s="2451"/>
      <c r="W1034" s="2451"/>
      <c r="X1034" s="2451"/>
      <c r="Y1034" s="2451"/>
      <c r="Z1034" s="344"/>
      <c r="AA1034" s="344"/>
      <c r="AB1034" s="344"/>
      <c r="AC1034" s="344"/>
      <c r="AL1034" s="105"/>
      <c r="AM1034" s="1504"/>
      <c r="AN1034" s="1504"/>
      <c r="AO1034" s="1504"/>
      <c r="AP1034" s="1504"/>
      <c r="AQ1034" s="1504"/>
      <c r="AR1034" s="1504"/>
      <c r="AS1034" s="1504"/>
      <c r="AT1034" s="1504"/>
      <c r="AU1034" s="1504"/>
      <c r="AV1034" s="1504"/>
      <c r="AW1034" s="1504"/>
      <c r="AX1034" s="1504"/>
      <c r="AY1034" s="1504"/>
    </row>
    <row r="1035" spans="1:96" ht="12.75" customHeight="1">
      <c r="A1035" s="51"/>
      <c r="B1035" s="112" t="s">
        <v>1949</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07"/>
      <c r="Y1035" s="2207"/>
      <c r="Z1035" s="2207"/>
      <c r="AA1035" s="2207"/>
      <c r="AB1035" s="2207"/>
      <c r="AC1035" s="2207"/>
      <c r="AD1035" s="2435">
        <f>R971</f>
        <v>422400</v>
      </c>
      <c r="AE1035" s="2381"/>
      <c r="AF1035" s="2381"/>
      <c r="AG1035" s="2381"/>
      <c r="AH1035" s="2381"/>
      <c r="AI1035" s="2381"/>
      <c r="AJ1035" s="2381"/>
      <c r="AK1035" s="2381"/>
      <c r="AL1035" s="105"/>
      <c r="AM1035" s="1504"/>
      <c r="AN1035" s="1504"/>
      <c r="AO1035" s="1504"/>
      <c r="AP1035" s="1504"/>
      <c r="AQ1035" s="1504"/>
      <c r="AR1035" s="1504"/>
      <c r="AS1035" s="1504"/>
      <c r="AT1035" s="1504"/>
      <c r="AU1035" s="1504"/>
      <c r="AV1035" s="1504"/>
      <c r="AW1035" s="1504"/>
      <c r="AX1035" s="1504"/>
      <c r="AY1035" s="1504"/>
    </row>
    <row r="1036" spans="1:96" ht="12.75" customHeight="1">
      <c r="A1036" s="51"/>
      <c r="B1036" s="112" t="s">
        <v>1950</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08"/>
      <c r="Y1036" s="2208"/>
      <c r="Z1036" s="2208"/>
      <c r="AA1036" s="2208"/>
      <c r="AB1036" s="2208"/>
      <c r="AC1036" s="2208"/>
      <c r="AD1036" s="1995">
        <f>MIN((BR809:BR866))</f>
        <v>318400</v>
      </c>
      <c r="AE1036" s="1995"/>
      <c r="AF1036" s="1995"/>
      <c r="AG1036" s="1995"/>
      <c r="AH1036" s="1995"/>
      <c r="AI1036" s="1995"/>
      <c r="AJ1036" s="1995"/>
      <c r="AK1036" s="1995"/>
      <c r="AL1036" s="105"/>
      <c r="AM1036" s="1504"/>
      <c r="AN1036" s="1504"/>
      <c r="AO1036" s="1504"/>
      <c r="AP1036" s="1504"/>
      <c r="AQ1036" s="1504"/>
      <c r="AR1036" s="1504"/>
      <c r="AS1036" s="1504"/>
      <c r="AT1036" s="1504"/>
      <c r="AU1036" s="1504"/>
      <c r="AV1036" s="1504"/>
      <c r="AW1036" s="1504"/>
      <c r="AX1036" s="1504"/>
      <c r="AY1036" s="1504"/>
    </row>
    <row r="1037" spans="1:96" ht="12.75" customHeight="1">
      <c r="A1037" s="51"/>
      <c r="B1037" s="2436" t="s">
        <v>1951</v>
      </c>
      <c r="C1037" s="2436"/>
      <c r="D1037" s="2436"/>
      <c r="E1037" s="2436"/>
      <c r="F1037" s="2436"/>
      <c r="G1037" s="2436"/>
      <c r="H1037" s="2436"/>
      <c r="I1037" s="2436"/>
      <c r="J1037" s="2436"/>
      <c r="K1037" s="2436"/>
      <c r="L1037" s="2436"/>
      <c r="M1037" s="2436"/>
      <c r="N1037" s="2436"/>
      <c r="O1037" s="2436"/>
      <c r="P1037" s="2436"/>
      <c r="Q1037" s="2436"/>
      <c r="R1037" s="2436"/>
      <c r="S1037" s="2436"/>
      <c r="T1037" s="2436"/>
      <c r="U1037" s="2436"/>
      <c r="V1037" s="2436"/>
      <c r="W1037" s="2436"/>
      <c r="X1037" s="2436"/>
      <c r="Y1037" s="2436"/>
      <c r="Z1037" s="1337"/>
      <c r="AA1037" s="1337"/>
      <c r="AB1037" s="1337"/>
      <c r="AC1037" s="1337"/>
      <c r="AD1037" s="2432">
        <f>IF(((AD1035-AD1036)/AD1036)&gt;0.3,0.3,((AD1035-AD1036)/AD1036))</f>
        <v>0.3</v>
      </c>
      <c r="AE1037" s="2433"/>
      <c r="AF1037" s="2433"/>
      <c r="AG1037" s="2433"/>
      <c r="AH1037" s="2433"/>
      <c r="AI1037" s="2433"/>
      <c r="AJ1037" s="2433"/>
      <c r="AK1037" s="2434"/>
      <c r="AL1037" s="105"/>
      <c r="AM1037" s="1504"/>
      <c r="AN1037" s="1504"/>
      <c r="AO1037" s="1504"/>
      <c r="AP1037" s="1504"/>
      <c r="AQ1037" s="1504"/>
      <c r="AR1037" s="1504"/>
      <c r="AS1037" s="1504"/>
      <c r="AT1037" s="1504"/>
      <c r="AU1037" s="1504"/>
      <c r="AV1037" s="1504"/>
      <c r="AW1037" s="1504"/>
      <c r="AX1037" s="1504"/>
      <c r="AY1037" s="1504"/>
    </row>
    <row r="1038" spans="1:96" ht="12.75" customHeight="1">
      <c r="A1038" s="51"/>
      <c r="B1038" s="112"/>
      <c r="C1038" s="338"/>
      <c r="D1038" s="1337"/>
      <c r="E1038" s="1337"/>
      <c r="F1038" s="1337"/>
      <c r="G1038" s="1337"/>
      <c r="H1038" s="1337"/>
      <c r="I1038" s="1337"/>
      <c r="J1038" s="1337"/>
      <c r="K1038" s="1337"/>
      <c r="L1038" s="1337"/>
      <c r="M1038" s="1337"/>
      <c r="N1038" s="1337"/>
      <c r="O1038" s="1337"/>
      <c r="P1038" s="1337"/>
      <c r="Q1038" s="1337"/>
      <c r="R1038" s="1337"/>
      <c r="S1038" s="1337"/>
      <c r="T1038" s="1337"/>
      <c r="U1038" s="1337"/>
      <c r="V1038" s="1337"/>
      <c r="W1038" s="1337"/>
      <c r="X1038" s="1337"/>
      <c r="Y1038" s="1337"/>
      <c r="Z1038" s="1337"/>
      <c r="AA1038" s="1337"/>
      <c r="AB1038" s="1337"/>
      <c r="AC1038" s="1337"/>
      <c r="AD1038" s="1337"/>
      <c r="AE1038" s="1337"/>
      <c r="AF1038" s="1337"/>
      <c r="AG1038" s="1337"/>
      <c r="AH1038" s="1337"/>
      <c r="AI1038" s="1337"/>
      <c r="AJ1038" s="1337"/>
      <c r="AK1038" s="1337"/>
      <c r="AL1038" s="105"/>
      <c r="AM1038" s="1504"/>
      <c r="AN1038" s="1504"/>
      <c r="AO1038" s="1504"/>
      <c r="AP1038" s="1504"/>
      <c r="AQ1038" s="1504"/>
      <c r="AR1038" s="1504"/>
      <c r="AS1038" s="1504"/>
      <c r="AT1038" s="1504"/>
      <c r="AU1038" s="1504"/>
      <c r="AV1038" s="1504"/>
      <c r="AW1038" s="1504"/>
      <c r="AX1038" s="1504"/>
      <c r="AY1038" s="1504"/>
    </row>
    <row r="1039" spans="1:96" ht="12.6" customHeight="1">
      <c r="A1039" s="128"/>
      <c r="B1039" s="2203">
        <f>IF(ISNA(IF((AJ999&gt;(AJ975*0.15)),"(f) cannot be greater than 15% of unadjusted eligible basis.",0)),"",(IF((AJ999&gt;(AJ975*0.15)),"(f) cannot be greater than 15% of unadjusted eligible basis.",0)))</f>
        <v>0</v>
      </c>
      <c r="C1039" s="2203"/>
      <c r="D1039" s="2203"/>
      <c r="E1039" s="2203"/>
      <c r="F1039" s="2203"/>
      <c r="G1039" s="2203"/>
      <c r="H1039" s="2203"/>
      <c r="I1039" s="2203"/>
      <c r="J1039" s="2203"/>
      <c r="K1039" s="2203"/>
      <c r="L1039" s="2203"/>
      <c r="M1039" s="2203"/>
      <c r="N1039" s="2203"/>
      <c r="O1039" s="2203"/>
      <c r="P1039" s="2203"/>
      <c r="Q1039" s="2203"/>
      <c r="R1039" s="2203"/>
      <c r="S1039" s="2203"/>
      <c r="T1039" s="2203"/>
      <c r="U1039" s="2203"/>
      <c r="V1039" s="2203"/>
      <c r="W1039" s="2203"/>
      <c r="X1039" s="2203"/>
      <c r="Y1039" s="2203"/>
      <c r="Z1039" s="2203"/>
      <c r="AA1039" s="2203"/>
      <c r="AB1039" s="2203"/>
      <c r="AC1039" s="2203"/>
      <c r="AD1039" s="2203"/>
      <c r="AE1039" s="2203"/>
      <c r="AF1039" s="2203"/>
      <c r="AG1039" s="2203"/>
      <c r="AH1039" s="2203"/>
      <c r="AI1039" s="2203"/>
      <c r="AJ1039" s="2203"/>
      <c r="AK1039" s="2203"/>
      <c r="AL1039" s="105"/>
      <c r="AM1039" s="1504"/>
      <c r="AN1039" s="1504"/>
      <c r="AO1039" s="1504"/>
      <c r="AP1039" s="1504"/>
      <c r="AQ1039" s="1504"/>
      <c r="AR1039" s="1504"/>
      <c r="AS1039" s="1504"/>
      <c r="AT1039" s="1504"/>
      <c r="AU1039" s="1504"/>
      <c r="AV1039" s="1504"/>
      <c r="AW1039" s="1504"/>
      <c r="AX1039" s="1504"/>
      <c r="AY1039" s="1504"/>
    </row>
    <row r="1040" spans="1:96" ht="12.6" customHeight="1" thickBot="1">
      <c r="A1040" s="2206" t="s">
        <v>856</v>
      </c>
      <c r="B1040" s="2206"/>
      <c r="C1040" s="2206"/>
      <c r="D1040" s="2206"/>
      <c r="E1040" s="2206"/>
      <c r="F1040" s="2206"/>
      <c r="G1040" s="2206"/>
      <c r="H1040" s="2206"/>
      <c r="I1040" s="2206"/>
      <c r="J1040" s="2206"/>
      <c r="K1040" s="2206"/>
      <c r="L1040" s="2206"/>
      <c r="M1040" s="2206"/>
      <c r="N1040" s="2206"/>
      <c r="O1040" s="2206"/>
      <c r="P1040" s="2206"/>
      <c r="Q1040" s="2206"/>
      <c r="R1040" s="2206"/>
      <c r="S1040" s="2206"/>
      <c r="T1040" s="2206"/>
      <c r="U1040" s="2206"/>
      <c r="V1040" s="2206"/>
      <c r="W1040" s="2206"/>
      <c r="X1040" s="2206"/>
      <c r="Y1040" s="2206"/>
      <c r="Z1040" s="2206"/>
      <c r="AA1040" s="2206"/>
      <c r="AB1040" s="2206"/>
      <c r="AC1040" s="2206"/>
      <c r="AD1040" s="2206"/>
      <c r="AE1040" s="2206"/>
      <c r="AF1040" s="2206"/>
      <c r="AG1040" s="2206"/>
      <c r="AH1040" s="2206"/>
      <c r="AI1040" s="2206"/>
      <c r="AJ1040" s="2206"/>
      <c r="AK1040" s="2206"/>
      <c r="AL1040" s="220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61" t="s">
        <v>580</v>
      </c>
      <c r="B1044" s="1961"/>
      <c r="C1044" s="13">
        <v>1</v>
      </c>
      <c r="D1044" s="1796" t="s">
        <v>1227</v>
      </c>
      <c r="E1044" s="1796"/>
      <c r="F1044" s="1796"/>
      <c r="G1044" s="1796"/>
      <c r="H1044" s="1796"/>
      <c r="I1044" s="1796"/>
      <c r="J1044" s="1796"/>
      <c r="K1044" s="1796"/>
      <c r="L1044" s="1796"/>
      <c r="M1044" s="1796"/>
      <c r="N1044" s="1796"/>
      <c r="O1044" s="1796"/>
      <c r="P1044" s="1796"/>
      <c r="Q1044" s="1796"/>
      <c r="R1044" s="1796"/>
      <c r="S1044" s="1796"/>
      <c r="T1044" s="1796"/>
      <c r="U1044" s="1796"/>
      <c r="V1044" s="1796"/>
      <c r="W1044" s="1796"/>
      <c r="X1044" s="1796"/>
      <c r="Y1044" s="1796"/>
      <c r="Z1044" s="1796"/>
      <c r="AA1044" s="1796"/>
      <c r="AB1044" s="1796"/>
      <c r="AC1044" s="1796"/>
      <c r="AD1044" s="1796"/>
      <c r="AE1044" s="1796"/>
      <c r="AF1044" s="1796"/>
      <c r="AG1044" s="1796"/>
      <c r="AH1044" s="1796"/>
      <c r="AI1044" s="1796"/>
      <c r="AJ1044" s="1796"/>
      <c r="AK1044" s="1796"/>
      <c r="AL1044" s="131"/>
      <c r="AM1044" s="1505"/>
      <c r="AN1044" s="1505"/>
      <c r="AO1044" s="1505"/>
      <c r="AP1044" s="1505"/>
      <c r="AQ1044" s="1505"/>
      <c r="AR1044" s="1505"/>
      <c r="AS1044" s="1505"/>
      <c r="AT1044" s="1505"/>
      <c r="AU1044" s="1505"/>
      <c r="AV1044" s="1505"/>
      <c r="AW1044" s="1505"/>
      <c r="AX1044" s="1505"/>
      <c r="AY1044" s="1505"/>
    </row>
    <row r="1045" spans="1:51" ht="12.6" customHeight="1">
      <c r="A1045" s="235"/>
      <c r="B1045" s="235"/>
      <c r="C1045" s="13"/>
      <c r="D1045" s="1796"/>
      <c r="E1045" s="1796"/>
      <c r="F1045" s="1796"/>
      <c r="G1045" s="1796"/>
      <c r="H1045" s="1796"/>
      <c r="I1045" s="1796"/>
      <c r="J1045" s="1796"/>
      <c r="K1045" s="1796"/>
      <c r="L1045" s="1796"/>
      <c r="M1045" s="1796"/>
      <c r="N1045" s="1796"/>
      <c r="O1045" s="1796"/>
      <c r="P1045" s="1796"/>
      <c r="Q1045" s="1796"/>
      <c r="R1045" s="1796"/>
      <c r="S1045" s="1796"/>
      <c r="T1045" s="1796"/>
      <c r="U1045" s="1796"/>
      <c r="V1045" s="1796"/>
      <c r="W1045" s="1796"/>
      <c r="X1045" s="1796"/>
      <c r="Y1045" s="1796"/>
      <c r="Z1045" s="1796"/>
      <c r="AA1045" s="1796"/>
      <c r="AB1045" s="1796"/>
      <c r="AC1045" s="1796"/>
      <c r="AD1045" s="1796"/>
      <c r="AE1045" s="1796"/>
      <c r="AF1045" s="1796"/>
      <c r="AG1045" s="1796"/>
      <c r="AH1045" s="1796"/>
      <c r="AI1045" s="1796"/>
      <c r="AJ1045" s="1796"/>
      <c r="AK1045" s="1796"/>
      <c r="AL1045" s="131"/>
      <c r="AM1045" s="1505"/>
      <c r="AN1045" s="1505"/>
      <c r="AO1045" s="1505"/>
      <c r="AP1045" s="1505"/>
      <c r="AQ1045" s="1505"/>
      <c r="AR1045" s="1505"/>
      <c r="AS1045" s="1505"/>
      <c r="AT1045" s="1505"/>
      <c r="AU1045" s="1505"/>
      <c r="AV1045" s="1505"/>
      <c r="AW1045" s="1505"/>
      <c r="AX1045" s="1505"/>
      <c r="AY1045" s="1505"/>
    </row>
    <row r="1046" spans="1:51" ht="12.6" customHeight="1">
      <c r="A1046" s="235"/>
      <c r="B1046" s="235"/>
      <c r="C1046" s="13"/>
      <c r="D1046" s="1796"/>
      <c r="E1046" s="1796"/>
      <c r="F1046" s="1796"/>
      <c r="G1046" s="1796"/>
      <c r="H1046" s="1796"/>
      <c r="I1046" s="1796"/>
      <c r="J1046" s="1796"/>
      <c r="K1046" s="1796"/>
      <c r="L1046" s="1796"/>
      <c r="M1046" s="1796"/>
      <c r="N1046" s="1796"/>
      <c r="O1046" s="1796"/>
      <c r="P1046" s="1796"/>
      <c r="Q1046" s="1796"/>
      <c r="R1046" s="1796"/>
      <c r="S1046" s="1796"/>
      <c r="T1046" s="1796"/>
      <c r="U1046" s="1796"/>
      <c r="V1046" s="1796"/>
      <c r="W1046" s="1796"/>
      <c r="X1046" s="1796"/>
      <c r="Y1046" s="1796"/>
      <c r="Z1046" s="1796"/>
      <c r="AA1046" s="1796"/>
      <c r="AB1046" s="1796"/>
      <c r="AC1046" s="1796"/>
      <c r="AD1046" s="1796"/>
      <c r="AE1046" s="1796"/>
      <c r="AF1046" s="1796"/>
      <c r="AG1046" s="1796"/>
      <c r="AH1046" s="1796"/>
      <c r="AI1046" s="1796"/>
      <c r="AJ1046" s="1796"/>
      <c r="AK1046" s="1796"/>
      <c r="AL1046" s="105"/>
      <c r="AM1046" s="1504"/>
      <c r="AN1046" s="1504"/>
      <c r="AO1046" s="1504"/>
      <c r="AP1046" s="1504"/>
      <c r="AQ1046" s="1504"/>
      <c r="AR1046" s="1504"/>
      <c r="AS1046" s="1504"/>
      <c r="AT1046" s="1504"/>
      <c r="AU1046" s="1504"/>
      <c r="AV1046" s="1504"/>
      <c r="AW1046" s="1504"/>
      <c r="AX1046" s="1504"/>
      <c r="AY1046" s="1504"/>
    </row>
    <row r="1047" spans="1:51" ht="12.6" customHeight="1">
      <c r="A1047" s="235"/>
      <c r="B1047" s="235"/>
      <c r="C1047" s="13"/>
      <c r="D1047" s="1796"/>
      <c r="E1047" s="1796"/>
      <c r="F1047" s="1796"/>
      <c r="G1047" s="1796"/>
      <c r="H1047" s="1796"/>
      <c r="I1047" s="1796"/>
      <c r="J1047" s="1796"/>
      <c r="K1047" s="1796"/>
      <c r="L1047" s="1796"/>
      <c r="M1047" s="1796"/>
      <c r="N1047" s="1796"/>
      <c r="O1047" s="1796"/>
      <c r="P1047" s="1796"/>
      <c r="Q1047" s="1796"/>
      <c r="R1047" s="1796"/>
      <c r="S1047" s="1796"/>
      <c r="T1047" s="1796"/>
      <c r="U1047" s="1796"/>
      <c r="V1047" s="1796"/>
      <c r="W1047" s="1796"/>
      <c r="X1047" s="1796"/>
      <c r="Y1047" s="1796"/>
      <c r="Z1047" s="1796"/>
      <c r="AA1047" s="1796"/>
      <c r="AB1047" s="1796"/>
      <c r="AC1047" s="1796"/>
      <c r="AD1047" s="1796"/>
      <c r="AE1047" s="1796"/>
      <c r="AF1047" s="1796"/>
      <c r="AG1047" s="1796"/>
      <c r="AH1047" s="1796"/>
      <c r="AI1047" s="1796"/>
      <c r="AJ1047" s="1796"/>
      <c r="AK1047" s="1796"/>
      <c r="AL1047" s="105"/>
      <c r="AM1047" s="1504"/>
      <c r="AN1047" s="1504"/>
      <c r="AO1047" s="1504"/>
      <c r="AP1047" s="1504"/>
      <c r="AQ1047" s="1504"/>
      <c r="AR1047" s="1504"/>
      <c r="AS1047" s="1504"/>
      <c r="AT1047" s="1504"/>
      <c r="AU1047" s="1504"/>
      <c r="AV1047" s="1504"/>
      <c r="AW1047" s="1504"/>
      <c r="AX1047" s="1504"/>
      <c r="AY1047" s="1504"/>
    </row>
    <row r="1048" spans="1:51" ht="12.6" customHeight="1">
      <c r="A1048" s="235"/>
      <c r="B1048" s="235"/>
      <c r="C1048" s="13"/>
      <c r="D1048" s="1796"/>
      <c r="E1048" s="1796"/>
      <c r="F1048" s="1796"/>
      <c r="G1048" s="1796"/>
      <c r="H1048" s="1796"/>
      <c r="I1048" s="1796"/>
      <c r="J1048" s="1796"/>
      <c r="K1048" s="1796"/>
      <c r="L1048" s="1796"/>
      <c r="M1048" s="1796"/>
      <c r="N1048" s="1796"/>
      <c r="O1048" s="1796"/>
      <c r="P1048" s="1796"/>
      <c r="Q1048" s="1796"/>
      <c r="R1048" s="1796"/>
      <c r="S1048" s="1796"/>
      <c r="T1048" s="1796"/>
      <c r="U1048" s="1796"/>
      <c r="V1048" s="1796"/>
      <c r="W1048" s="1796"/>
      <c r="X1048" s="1796"/>
      <c r="Y1048" s="1796"/>
      <c r="Z1048" s="1796"/>
      <c r="AA1048" s="1796"/>
      <c r="AB1048" s="1796"/>
      <c r="AC1048" s="1796"/>
      <c r="AD1048" s="1796"/>
      <c r="AE1048" s="1796"/>
      <c r="AF1048" s="1796"/>
      <c r="AG1048" s="1796"/>
      <c r="AH1048" s="1796"/>
      <c r="AI1048" s="1796"/>
      <c r="AJ1048" s="1796"/>
      <c r="AK1048" s="1796"/>
      <c r="AL1048" s="105"/>
      <c r="AM1048" s="1504"/>
      <c r="AN1048" s="1504"/>
      <c r="AO1048" s="1504"/>
      <c r="AP1048" s="1504"/>
      <c r="AQ1048" s="1504"/>
      <c r="AR1048" s="1504"/>
      <c r="AS1048" s="1504"/>
      <c r="AT1048" s="1504"/>
      <c r="AU1048" s="1504"/>
      <c r="AV1048" s="1504"/>
      <c r="AW1048" s="1504"/>
      <c r="AX1048" s="1504"/>
      <c r="AY1048" s="1504"/>
    </row>
    <row r="1049" spans="1:51" ht="12.6" customHeight="1">
      <c r="A1049" s="37"/>
      <c r="B1049" s="66"/>
      <c r="C1049" s="13"/>
      <c r="D1049" s="1796"/>
      <c r="E1049" s="1796"/>
      <c r="F1049" s="1796"/>
      <c r="G1049" s="1796"/>
      <c r="H1049" s="1796"/>
      <c r="I1049" s="1796"/>
      <c r="J1049" s="1796"/>
      <c r="K1049" s="1796"/>
      <c r="L1049" s="1796"/>
      <c r="M1049" s="1796"/>
      <c r="N1049" s="1796"/>
      <c r="O1049" s="1796"/>
      <c r="P1049" s="1796"/>
      <c r="Q1049" s="1796"/>
      <c r="R1049" s="1796"/>
      <c r="S1049" s="1796"/>
      <c r="T1049" s="1796"/>
      <c r="U1049" s="1796"/>
      <c r="V1049" s="1796"/>
      <c r="W1049" s="1796"/>
      <c r="X1049" s="1796"/>
      <c r="Y1049" s="1796"/>
      <c r="Z1049" s="1796"/>
      <c r="AA1049" s="1796"/>
      <c r="AB1049" s="1796"/>
      <c r="AC1049" s="1796"/>
      <c r="AD1049" s="1796"/>
      <c r="AE1049" s="1796"/>
      <c r="AF1049" s="1796"/>
      <c r="AG1049" s="1796"/>
      <c r="AH1049" s="1796"/>
      <c r="AI1049" s="1796"/>
      <c r="AJ1049" s="1796"/>
      <c r="AK1049" s="1796"/>
      <c r="AL1049" s="105"/>
      <c r="AM1049" s="1504"/>
      <c r="AN1049" s="1504"/>
      <c r="AO1049" s="1504"/>
      <c r="AP1049" s="1504"/>
      <c r="AQ1049" s="1504"/>
      <c r="AR1049" s="1504"/>
      <c r="AS1049" s="1504"/>
      <c r="AT1049" s="1504"/>
      <c r="AU1049" s="1504"/>
      <c r="AV1049" s="1504"/>
      <c r="AW1049" s="1504"/>
      <c r="AX1049" s="1504"/>
      <c r="AY1049" s="1504"/>
    </row>
    <row r="1050" spans="1:51" ht="12.6" customHeight="1">
      <c r="A1050" s="1961" t="s">
        <v>580</v>
      </c>
      <c r="B1050" s="1961"/>
      <c r="C1050" s="13">
        <v>2</v>
      </c>
      <c r="D1050" s="1796" t="s">
        <v>1226</v>
      </c>
      <c r="E1050" s="1796"/>
      <c r="F1050" s="1796"/>
      <c r="G1050" s="1796"/>
      <c r="H1050" s="1796"/>
      <c r="I1050" s="1796"/>
      <c r="J1050" s="1796"/>
      <c r="K1050" s="1796"/>
      <c r="L1050" s="1796"/>
      <c r="M1050" s="1796"/>
      <c r="N1050" s="1796"/>
      <c r="O1050" s="1796"/>
      <c r="P1050" s="1796"/>
      <c r="Q1050" s="1796"/>
      <c r="R1050" s="1796"/>
      <c r="S1050" s="1796"/>
      <c r="T1050" s="1796"/>
      <c r="U1050" s="1796"/>
      <c r="V1050" s="1796"/>
      <c r="W1050" s="1796"/>
      <c r="X1050" s="1796"/>
      <c r="Y1050" s="1796"/>
      <c r="Z1050" s="1796"/>
      <c r="AA1050" s="1796"/>
      <c r="AB1050" s="1796"/>
      <c r="AC1050" s="1796"/>
      <c r="AD1050" s="1796"/>
      <c r="AE1050" s="1796"/>
      <c r="AF1050" s="1796"/>
      <c r="AG1050" s="1796"/>
      <c r="AH1050" s="1796"/>
      <c r="AI1050" s="1796"/>
      <c r="AJ1050" s="1796"/>
      <c r="AK1050" s="1796"/>
      <c r="AL1050" s="105"/>
      <c r="AM1050" s="1504"/>
      <c r="AN1050" s="1504"/>
      <c r="AO1050" s="1504"/>
      <c r="AP1050" s="1504"/>
      <c r="AQ1050" s="1504"/>
      <c r="AR1050" s="1504"/>
      <c r="AS1050" s="1504"/>
      <c r="AT1050" s="1504"/>
      <c r="AU1050" s="1504"/>
      <c r="AV1050" s="1504"/>
      <c r="AW1050" s="1504"/>
      <c r="AX1050" s="1504"/>
      <c r="AY1050" s="1504"/>
    </row>
    <row r="1051" spans="1:51" ht="12.6" customHeight="1">
      <c r="A1051" s="235"/>
      <c r="B1051" s="235"/>
      <c r="C1051" s="13"/>
      <c r="D1051" s="1796"/>
      <c r="E1051" s="1796"/>
      <c r="F1051" s="1796"/>
      <c r="G1051" s="1796"/>
      <c r="H1051" s="1796"/>
      <c r="I1051" s="1796"/>
      <c r="J1051" s="1796"/>
      <c r="K1051" s="1796"/>
      <c r="L1051" s="1796"/>
      <c r="M1051" s="1796"/>
      <c r="N1051" s="1796"/>
      <c r="O1051" s="1796"/>
      <c r="P1051" s="1796"/>
      <c r="Q1051" s="1796"/>
      <c r="R1051" s="1796"/>
      <c r="S1051" s="1796"/>
      <c r="T1051" s="1796"/>
      <c r="U1051" s="1796"/>
      <c r="V1051" s="1796"/>
      <c r="W1051" s="1796"/>
      <c r="X1051" s="1796"/>
      <c r="Y1051" s="1796"/>
      <c r="Z1051" s="1796"/>
      <c r="AA1051" s="1796"/>
      <c r="AB1051" s="1796"/>
      <c r="AC1051" s="1796"/>
      <c r="AD1051" s="1796"/>
      <c r="AE1051" s="1796"/>
      <c r="AF1051" s="1796"/>
      <c r="AG1051" s="1796"/>
      <c r="AH1051" s="1796"/>
      <c r="AI1051" s="1796"/>
      <c r="AJ1051" s="1796"/>
      <c r="AK1051" s="1796"/>
      <c r="AL1051" s="105"/>
      <c r="AM1051" s="1504"/>
      <c r="AN1051" s="1504"/>
      <c r="AO1051" s="1504"/>
      <c r="AP1051" s="1504"/>
      <c r="AQ1051" s="1504"/>
      <c r="AR1051" s="1504"/>
      <c r="AS1051" s="1504"/>
      <c r="AT1051" s="1504"/>
      <c r="AU1051" s="1504"/>
      <c r="AV1051" s="1504"/>
      <c r="AW1051" s="1504"/>
      <c r="AX1051" s="1504"/>
      <c r="AY1051" s="1504"/>
    </row>
    <row r="1052" spans="1:51" ht="12.6" customHeight="1">
      <c r="A1052" s="235"/>
      <c r="B1052" s="235"/>
      <c r="C1052" s="13"/>
      <c r="D1052" s="1796"/>
      <c r="E1052" s="1796"/>
      <c r="F1052" s="1796"/>
      <c r="G1052" s="1796"/>
      <c r="H1052" s="1796"/>
      <c r="I1052" s="1796"/>
      <c r="J1052" s="1796"/>
      <c r="K1052" s="1796"/>
      <c r="L1052" s="1796"/>
      <c r="M1052" s="1796"/>
      <c r="N1052" s="1796"/>
      <c r="O1052" s="1796"/>
      <c r="P1052" s="1796"/>
      <c r="Q1052" s="1796"/>
      <c r="R1052" s="1796"/>
      <c r="S1052" s="1796"/>
      <c r="T1052" s="1796"/>
      <c r="U1052" s="1796"/>
      <c r="V1052" s="1796"/>
      <c r="W1052" s="1796"/>
      <c r="X1052" s="1796"/>
      <c r="Y1052" s="1796"/>
      <c r="Z1052" s="1796"/>
      <c r="AA1052" s="1796"/>
      <c r="AB1052" s="1796"/>
      <c r="AC1052" s="1796"/>
      <c r="AD1052" s="1796"/>
      <c r="AE1052" s="1796"/>
      <c r="AF1052" s="1796"/>
      <c r="AG1052" s="1796"/>
      <c r="AH1052" s="1796"/>
      <c r="AI1052" s="1796"/>
      <c r="AJ1052" s="1796"/>
      <c r="AK1052" s="1796"/>
      <c r="AL1052" s="105"/>
      <c r="AM1052" s="1504"/>
      <c r="AN1052" s="1504"/>
      <c r="AO1052" s="1504"/>
      <c r="AP1052" s="1504"/>
      <c r="AQ1052" s="1504"/>
      <c r="AR1052" s="1504"/>
      <c r="AS1052" s="1504"/>
      <c r="AT1052" s="1504"/>
      <c r="AU1052" s="1504"/>
      <c r="AV1052" s="1504"/>
      <c r="AW1052" s="1504"/>
      <c r="AX1052" s="1504"/>
      <c r="AY1052" s="1504"/>
    </row>
    <row r="1053" spans="1:51" ht="12.6" customHeight="1">
      <c r="A1053" s="235"/>
      <c r="B1053" s="235"/>
      <c r="C1053" s="13"/>
      <c r="D1053" s="1796"/>
      <c r="E1053" s="1796"/>
      <c r="F1053" s="1796"/>
      <c r="G1053" s="1796"/>
      <c r="H1053" s="1796"/>
      <c r="I1053" s="1796"/>
      <c r="J1053" s="1796"/>
      <c r="K1053" s="1796"/>
      <c r="L1053" s="1796"/>
      <c r="M1053" s="1796"/>
      <c r="N1053" s="1796"/>
      <c r="O1053" s="1796"/>
      <c r="P1053" s="1796"/>
      <c r="Q1053" s="1796"/>
      <c r="R1053" s="1796"/>
      <c r="S1053" s="1796"/>
      <c r="T1053" s="1796"/>
      <c r="U1053" s="1796"/>
      <c r="V1053" s="1796"/>
      <c r="W1053" s="1796"/>
      <c r="X1053" s="1796"/>
      <c r="Y1053" s="1796"/>
      <c r="Z1053" s="1796"/>
      <c r="AA1053" s="1796"/>
      <c r="AB1053" s="1796"/>
      <c r="AC1053" s="1796"/>
      <c r="AD1053" s="1796"/>
      <c r="AE1053" s="1796"/>
      <c r="AF1053" s="1796"/>
      <c r="AG1053" s="1796"/>
      <c r="AH1053" s="1796"/>
      <c r="AI1053" s="1796"/>
      <c r="AJ1053" s="1796"/>
      <c r="AK1053" s="1796"/>
      <c r="AL1053" s="105"/>
      <c r="AM1053" s="1504"/>
      <c r="AN1053" s="1504"/>
      <c r="AO1053" s="1504"/>
      <c r="AP1053" s="1504"/>
      <c r="AQ1053" s="1504"/>
      <c r="AR1053" s="1504"/>
      <c r="AS1053" s="1504"/>
      <c r="AT1053" s="1504"/>
      <c r="AU1053" s="1504"/>
      <c r="AV1053" s="1504"/>
      <c r="AW1053" s="1504"/>
      <c r="AX1053" s="1504"/>
      <c r="AY1053" s="1504"/>
    </row>
    <row r="1054" spans="1:51" ht="12.6" customHeight="1">
      <c r="A1054" s="235"/>
      <c r="B1054" s="235"/>
      <c r="C1054" s="13"/>
      <c r="D1054" s="1796"/>
      <c r="E1054" s="1796"/>
      <c r="F1054" s="1796"/>
      <c r="G1054" s="1796"/>
      <c r="H1054" s="1796"/>
      <c r="I1054" s="1796"/>
      <c r="J1054" s="1796"/>
      <c r="K1054" s="1796"/>
      <c r="L1054" s="1796"/>
      <c r="M1054" s="1796"/>
      <c r="N1054" s="1796"/>
      <c r="O1054" s="1796"/>
      <c r="P1054" s="1796"/>
      <c r="Q1054" s="1796"/>
      <c r="R1054" s="1796"/>
      <c r="S1054" s="1796"/>
      <c r="T1054" s="1796"/>
      <c r="U1054" s="1796"/>
      <c r="V1054" s="1796"/>
      <c r="W1054" s="1796"/>
      <c r="X1054" s="1796"/>
      <c r="Y1054" s="1796"/>
      <c r="Z1054" s="1796"/>
      <c r="AA1054" s="1796"/>
      <c r="AB1054" s="1796"/>
      <c r="AC1054" s="1796"/>
      <c r="AD1054" s="1796"/>
      <c r="AE1054" s="1796"/>
      <c r="AF1054" s="1796"/>
      <c r="AG1054" s="1796"/>
      <c r="AH1054" s="1796"/>
      <c r="AI1054" s="1796"/>
      <c r="AJ1054" s="1796"/>
      <c r="AK1054" s="1796"/>
      <c r="AL1054" s="105"/>
      <c r="AM1054" s="1504"/>
      <c r="AN1054" s="1504"/>
      <c r="AO1054" s="1504"/>
      <c r="AP1054" s="1504"/>
      <c r="AQ1054" s="1504"/>
      <c r="AR1054" s="1504"/>
      <c r="AS1054" s="1504"/>
      <c r="AT1054" s="1504"/>
      <c r="AU1054" s="1504"/>
      <c r="AV1054" s="1504"/>
      <c r="AW1054" s="1504"/>
      <c r="AX1054" s="1504"/>
      <c r="AY1054" s="1504"/>
    </row>
    <row r="1055" spans="1:51" ht="12.6" customHeight="1">
      <c r="A1055" s="235"/>
      <c r="B1055" s="235"/>
      <c r="C1055" s="13"/>
      <c r="D1055" s="1796"/>
      <c r="E1055" s="1796"/>
      <c r="F1055" s="1796"/>
      <c r="G1055" s="1796"/>
      <c r="H1055" s="1796"/>
      <c r="I1055" s="1796"/>
      <c r="J1055" s="1796"/>
      <c r="K1055" s="1796"/>
      <c r="L1055" s="1796"/>
      <c r="M1055" s="1796"/>
      <c r="N1055" s="1796"/>
      <c r="O1055" s="1796"/>
      <c r="P1055" s="1796"/>
      <c r="Q1055" s="1796"/>
      <c r="R1055" s="1796"/>
      <c r="S1055" s="1796"/>
      <c r="T1055" s="1796"/>
      <c r="U1055" s="1796"/>
      <c r="V1055" s="1796"/>
      <c r="W1055" s="1796"/>
      <c r="X1055" s="1796"/>
      <c r="Y1055" s="1796"/>
      <c r="Z1055" s="1796"/>
      <c r="AA1055" s="1796"/>
      <c r="AB1055" s="1796"/>
      <c r="AC1055" s="1796"/>
      <c r="AD1055" s="1796"/>
      <c r="AE1055" s="1796"/>
      <c r="AF1055" s="1796"/>
      <c r="AG1055" s="1796"/>
      <c r="AH1055" s="1796"/>
      <c r="AI1055" s="1796"/>
      <c r="AJ1055" s="1796"/>
      <c r="AK1055" s="1796"/>
    </row>
    <row r="1056" spans="1:51" ht="12.6" customHeight="1">
      <c r="A1056" s="1961" t="s">
        <v>580</v>
      </c>
      <c r="B1056" s="1961"/>
      <c r="C1056" s="13">
        <v>3</v>
      </c>
      <c r="D1056" s="1796" t="s">
        <v>1539</v>
      </c>
      <c r="E1056" s="1796"/>
      <c r="F1056" s="1796"/>
      <c r="G1056" s="1796"/>
      <c r="H1056" s="1796"/>
      <c r="I1056" s="1796"/>
      <c r="J1056" s="1796"/>
      <c r="K1056" s="1796"/>
      <c r="L1056" s="1796"/>
      <c r="M1056" s="1796"/>
      <c r="N1056" s="1796"/>
      <c r="O1056" s="1796"/>
      <c r="P1056" s="1796"/>
      <c r="Q1056" s="1796"/>
      <c r="R1056" s="1796"/>
      <c r="S1056" s="1796"/>
      <c r="T1056" s="1796"/>
      <c r="U1056" s="1796"/>
      <c r="V1056" s="1796"/>
      <c r="W1056" s="1796"/>
      <c r="X1056" s="1796"/>
      <c r="Y1056" s="1796"/>
      <c r="Z1056" s="1796"/>
      <c r="AA1056" s="1796"/>
      <c r="AB1056" s="1796"/>
      <c r="AC1056" s="1796"/>
      <c r="AD1056" s="1796"/>
      <c r="AE1056" s="1796"/>
      <c r="AF1056" s="1796"/>
      <c r="AG1056" s="1796"/>
      <c r="AH1056" s="1796"/>
      <c r="AI1056" s="1796"/>
      <c r="AJ1056" s="1796"/>
      <c r="AK1056" s="1796"/>
    </row>
    <row r="1057" spans="1:96" ht="12.6" customHeight="1">
      <c r="A1057" s="130"/>
      <c r="B1057" s="130"/>
      <c r="C1057" s="13"/>
      <c r="D1057" s="1796"/>
      <c r="E1057" s="1796"/>
      <c r="F1057" s="1796"/>
      <c r="G1057" s="1796"/>
      <c r="H1057" s="1796"/>
      <c r="I1057" s="1796"/>
      <c r="J1057" s="1796"/>
      <c r="K1057" s="1796"/>
      <c r="L1057" s="1796"/>
      <c r="M1057" s="1796"/>
      <c r="N1057" s="1796"/>
      <c r="O1057" s="1796"/>
      <c r="P1057" s="1796"/>
      <c r="Q1057" s="1796"/>
      <c r="R1057" s="1796"/>
      <c r="S1057" s="1796"/>
      <c r="T1057" s="1796"/>
      <c r="U1057" s="1796"/>
      <c r="V1057" s="1796"/>
      <c r="W1057" s="1796"/>
      <c r="X1057" s="1796"/>
      <c r="Y1057" s="1796"/>
      <c r="Z1057" s="1796"/>
      <c r="AA1057" s="1796"/>
      <c r="AB1057" s="1796"/>
      <c r="AC1057" s="1796"/>
      <c r="AD1057" s="1796"/>
      <c r="AE1057" s="1796"/>
      <c r="AF1057" s="1796"/>
      <c r="AG1057" s="1796"/>
      <c r="AH1057" s="1796"/>
      <c r="AI1057" s="1796"/>
      <c r="AJ1057" s="1796"/>
      <c r="AK1057" s="1796"/>
      <c r="AL1057" s="720"/>
    </row>
    <row r="1058" spans="1:96" ht="12.6" customHeight="1">
      <c r="A1058" s="130"/>
      <c r="B1058" s="130"/>
      <c r="C1058" s="13"/>
      <c r="D1058" s="1796"/>
      <c r="E1058" s="1796"/>
      <c r="F1058" s="1796"/>
      <c r="G1058" s="1796"/>
      <c r="H1058" s="1796"/>
      <c r="I1058" s="1796"/>
      <c r="J1058" s="1796"/>
      <c r="K1058" s="1796"/>
      <c r="L1058" s="1796"/>
      <c r="M1058" s="1796"/>
      <c r="N1058" s="1796"/>
      <c r="O1058" s="1796"/>
      <c r="P1058" s="1796"/>
      <c r="Q1058" s="1796"/>
      <c r="R1058" s="1796"/>
      <c r="S1058" s="1796"/>
      <c r="T1058" s="1796"/>
      <c r="U1058" s="1796"/>
      <c r="V1058" s="1796"/>
      <c r="W1058" s="1796"/>
      <c r="X1058" s="1796"/>
      <c r="Y1058" s="1796"/>
      <c r="Z1058" s="1796"/>
      <c r="AA1058" s="1796"/>
      <c r="AB1058" s="1796"/>
      <c r="AC1058" s="1796"/>
      <c r="AD1058" s="1796"/>
      <c r="AE1058" s="1796"/>
      <c r="AF1058" s="1796"/>
      <c r="AG1058" s="1796"/>
      <c r="AH1058" s="1796"/>
      <c r="AI1058" s="1796"/>
      <c r="AJ1058" s="1796"/>
      <c r="AK1058" s="1796"/>
    </row>
    <row r="1059" spans="1:96" s="720" customFormat="1" ht="12.6" customHeight="1">
      <c r="A1059" s="62"/>
      <c r="B1059" s="66"/>
      <c r="C1059" s="13"/>
      <c r="D1059" s="1796"/>
      <c r="E1059" s="1796"/>
      <c r="F1059" s="1796"/>
      <c r="G1059" s="1796"/>
      <c r="H1059" s="1796"/>
      <c r="I1059" s="1796"/>
      <c r="J1059" s="1796"/>
      <c r="K1059" s="1796"/>
      <c r="L1059" s="1796"/>
      <c r="M1059" s="1796"/>
      <c r="N1059" s="1796"/>
      <c r="O1059" s="1796"/>
      <c r="P1059" s="1796"/>
      <c r="Q1059" s="1796"/>
      <c r="R1059" s="1796"/>
      <c r="S1059" s="1796"/>
      <c r="T1059" s="1796"/>
      <c r="U1059" s="1796"/>
      <c r="V1059" s="1796"/>
      <c r="W1059" s="1796"/>
      <c r="X1059" s="1796"/>
      <c r="Y1059" s="1796"/>
      <c r="Z1059" s="1796"/>
      <c r="AA1059" s="1796"/>
      <c r="AB1059" s="1796"/>
      <c r="AC1059" s="1796"/>
      <c r="AD1059" s="1796"/>
      <c r="AE1059" s="1796"/>
      <c r="AF1059" s="1796"/>
      <c r="AG1059" s="1796"/>
      <c r="AH1059" s="1796"/>
      <c r="AI1059" s="1796"/>
      <c r="AJ1059" s="1796"/>
      <c r="AK1059" s="179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796"/>
      <c r="E1060" s="1796"/>
      <c r="F1060" s="1796"/>
      <c r="G1060" s="1796"/>
      <c r="H1060" s="1796"/>
      <c r="I1060" s="1796"/>
      <c r="J1060" s="1796"/>
      <c r="K1060" s="1796"/>
      <c r="L1060" s="1796"/>
      <c r="M1060" s="1796"/>
      <c r="N1060" s="1796"/>
      <c r="O1060" s="1796"/>
      <c r="P1060" s="1796"/>
      <c r="Q1060" s="1796"/>
      <c r="R1060" s="1796"/>
      <c r="S1060" s="1796"/>
      <c r="T1060" s="1796"/>
      <c r="U1060" s="1796"/>
      <c r="V1060" s="1796"/>
      <c r="W1060" s="1796"/>
      <c r="X1060" s="1796"/>
      <c r="Y1060" s="1796"/>
      <c r="Z1060" s="1796"/>
      <c r="AA1060" s="1796"/>
      <c r="AB1060" s="1796"/>
      <c r="AC1060" s="1796"/>
      <c r="AD1060" s="1796"/>
      <c r="AE1060" s="1796"/>
      <c r="AF1060" s="1796"/>
      <c r="AG1060" s="1796"/>
      <c r="AH1060" s="1796"/>
      <c r="AI1060" s="1796"/>
      <c r="AJ1060" s="1796"/>
      <c r="AK1060" s="1796"/>
    </row>
    <row r="1061" spans="1:96" ht="12.6" customHeight="1">
      <c r="A1061" s="62"/>
      <c r="B1061" s="66"/>
      <c r="C1061" s="13"/>
      <c r="D1061" s="1796"/>
      <c r="E1061" s="1796"/>
      <c r="F1061" s="1796"/>
      <c r="G1061" s="1796"/>
      <c r="H1061" s="1796"/>
      <c r="I1061" s="1796"/>
      <c r="J1061" s="1796"/>
      <c r="K1061" s="1796"/>
      <c r="L1061" s="1796"/>
      <c r="M1061" s="1796"/>
      <c r="N1061" s="1796"/>
      <c r="O1061" s="1796"/>
      <c r="P1061" s="1796"/>
      <c r="Q1061" s="1796"/>
      <c r="R1061" s="1796"/>
      <c r="S1061" s="1796"/>
      <c r="T1061" s="1796"/>
      <c r="U1061" s="1796"/>
      <c r="V1061" s="1796"/>
      <c r="W1061" s="1796"/>
      <c r="X1061" s="1796"/>
      <c r="Y1061" s="1796"/>
      <c r="Z1061" s="1796"/>
      <c r="AA1061" s="1796"/>
      <c r="AB1061" s="1796"/>
      <c r="AC1061" s="1796"/>
      <c r="AD1061" s="1796"/>
      <c r="AE1061" s="1796"/>
      <c r="AF1061" s="1796"/>
      <c r="AG1061" s="1796"/>
      <c r="AH1061" s="1796"/>
      <c r="AI1061" s="1796"/>
      <c r="AJ1061" s="1796"/>
      <c r="AK1061" s="1796"/>
    </row>
    <row r="1062" spans="1:96" ht="12.6" customHeight="1">
      <c r="A1062" s="62"/>
      <c r="B1062" s="66"/>
      <c r="C1062" s="13"/>
      <c r="D1062" s="1796"/>
      <c r="E1062" s="1796"/>
      <c r="F1062" s="1796"/>
      <c r="G1062" s="1796"/>
      <c r="H1062" s="1796"/>
      <c r="I1062" s="1796"/>
      <c r="J1062" s="1796"/>
      <c r="K1062" s="1796"/>
      <c r="L1062" s="1796"/>
      <c r="M1062" s="1796"/>
      <c r="N1062" s="1796"/>
      <c r="O1062" s="1796"/>
      <c r="P1062" s="1796"/>
      <c r="Q1062" s="1796"/>
      <c r="R1062" s="1796"/>
      <c r="S1062" s="1796"/>
      <c r="T1062" s="1796"/>
      <c r="U1062" s="1796"/>
      <c r="V1062" s="1796"/>
      <c r="W1062" s="1796"/>
      <c r="X1062" s="1796"/>
      <c r="Y1062" s="1796"/>
      <c r="Z1062" s="1796"/>
      <c r="AA1062" s="1796"/>
      <c r="AB1062" s="1796"/>
      <c r="AC1062" s="1796"/>
      <c r="AD1062" s="1796"/>
      <c r="AE1062" s="1796"/>
      <c r="AF1062" s="1796"/>
      <c r="AG1062" s="1796"/>
      <c r="AH1062" s="1796"/>
      <c r="AI1062" s="1796"/>
      <c r="AJ1062" s="1796"/>
      <c r="AK1062" s="1796"/>
    </row>
    <row r="1063" spans="1:96" ht="12.6" customHeight="1">
      <c r="A1063" s="1961" t="s">
        <v>628</v>
      </c>
      <c r="B1063" s="1961"/>
      <c r="C1063" s="13">
        <v>4</v>
      </c>
      <c r="D1063" s="1796" t="s">
        <v>1212</v>
      </c>
      <c r="E1063" s="1796"/>
      <c r="F1063" s="1796"/>
      <c r="G1063" s="1796"/>
      <c r="H1063" s="1796"/>
      <c r="I1063" s="1796"/>
      <c r="J1063" s="1796"/>
      <c r="K1063" s="1796"/>
      <c r="L1063" s="1796"/>
      <c r="M1063" s="1796"/>
      <c r="N1063" s="1796"/>
      <c r="O1063" s="1796"/>
      <c r="P1063" s="1796"/>
      <c r="Q1063" s="1796"/>
      <c r="R1063" s="1796"/>
      <c r="S1063" s="1796"/>
      <c r="T1063" s="1796"/>
      <c r="U1063" s="1796"/>
      <c r="V1063" s="1796"/>
      <c r="W1063" s="1796"/>
      <c r="X1063" s="1796"/>
      <c r="Y1063" s="1796"/>
      <c r="Z1063" s="1796"/>
      <c r="AA1063" s="1796"/>
      <c r="AB1063" s="1796"/>
      <c r="AC1063" s="1796"/>
      <c r="AD1063" s="1796"/>
      <c r="AE1063" s="1796"/>
      <c r="AF1063" s="1796"/>
      <c r="AG1063" s="1796"/>
      <c r="AH1063" s="1796"/>
      <c r="AI1063" s="1796"/>
      <c r="AJ1063" s="1796"/>
      <c r="AK1063" s="1796"/>
    </row>
    <row r="1064" spans="1:96" ht="12.6" customHeight="1">
      <c r="A1064" s="235"/>
      <c r="B1064" s="235"/>
      <c r="C1064" s="13"/>
      <c r="D1064" s="1796"/>
      <c r="E1064" s="1796"/>
      <c r="F1064" s="1796"/>
      <c r="G1064" s="1796"/>
      <c r="H1064" s="1796"/>
      <c r="I1064" s="1796"/>
      <c r="J1064" s="1796"/>
      <c r="K1064" s="1796"/>
      <c r="L1064" s="1796"/>
      <c r="M1064" s="1796"/>
      <c r="N1064" s="1796"/>
      <c r="O1064" s="1796"/>
      <c r="P1064" s="1796"/>
      <c r="Q1064" s="1796"/>
      <c r="R1064" s="1796"/>
      <c r="S1064" s="1796"/>
      <c r="T1064" s="1796"/>
      <c r="U1064" s="1796"/>
      <c r="V1064" s="1796"/>
      <c r="W1064" s="1796"/>
      <c r="X1064" s="1796"/>
      <c r="Y1064" s="1796"/>
      <c r="Z1064" s="1796"/>
      <c r="AA1064" s="1796"/>
      <c r="AB1064" s="1796"/>
      <c r="AC1064" s="1796"/>
      <c r="AD1064" s="1796"/>
      <c r="AE1064" s="1796"/>
      <c r="AF1064" s="1796"/>
      <c r="AG1064" s="1796"/>
      <c r="AH1064" s="1796"/>
      <c r="AI1064" s="1796"/>
      <c r="AJ1064" s="1796"/>
      <c r="AK1064" s="1796"/>
    </row>
    <row r="1065" spans="1:96" ht="12.6" customHeight="1">
      <c r="A1065" s="62"/>
      <c r="B1065" s="66"/>
      <c r="C1065" s="13"/>
      <c r="D1065" s="1796"/>
      <c r="E1065" s="1796"/>
      <c r="F1065" s="1796"/>
      <c r="G1065" s="1796"/>
      <c r="H1065" s="1796"/>
      <c r="I1065" s="1796"/>
      <c r="J1065" s="1796"/>
      <c r="K1065" s="1796"/>
      <c r="L1065" s="1796"/>
      <c r="M1065" s="1796"/>
      <c r="N1065" s="1796"/>
      <c r="O1065" s="1796"/>
      <c r="P1065" s="1796"/>
      <c r="Q1065" s="1796"/>
      <c r="R1065" s="1796"/>
      <c r="S1065" s="1796"/>
      <c r="T1065" s="1796"/>
      <c r="U1065" s="1796"/>
      <c r="V1065" s="1796"/>
      <c r="W1065" s="1796"/>
      <c r="X1065" s="1796"/>
      <c r="Y1065" s="1796"/>
      <c r="Z1065" s="1796"/>
      <c r="AA1065" s="1796"/>
      <c r="AB1065" s="1796"/>
      <c r="AC1065" s="1796"/>
      <c r="AD1065" s="1796"/>
      <c r="AE1065" s="1796"/>
      <c r="AF1065" s="1796"/>
      <c r="AG1065" s="1796"/>
      <c r="AH1065" s="1796"/>
      <c r="AI1065" s="1796"/>
      <c r="AJ1065" s="1796"/>
      <c r="AK1065" s="1796"/>
    </row>
    <row r="1066" spans="1:96" s="683" customFormat="1" ht="12.6" customHeight="1">
      <c r="A1066" s="1961" t="s">
        <v>628</v>
      </c>
      <c r="B1066" s="1961"/>
      <c r="C1066" s="13">
        <v>5</v>
      </c>
      <c r="D1066" s="1796" t="s">
        <v>1425</v>
      </c>
      <c r="E1066" s="1796"/>
      <c r="F1066" s="1796"/>
      <c r="G1066" s="1796"/>
      <c r="H1066" s="1796"/>
      <c r="I1066" s="1796"/>
      <c r="J1066" s="1796"/>
      <c r="K1066" s="1796"/>
      <c r="L1066" s="1796"/>
      <c r="M1066" s="1796"/>
      <c r="N1066" s="1796"/>
      <c r="O1066" s="1796"/>
      <c r="P1066" s="1796"/>
      <c r="Q1066" s="1796"/>
      <c r="R1066" s="1796"/>
      <c r="S1066" s="1796"/>
      <c r="T1066" s="1796"/>
      <c r="U1066" s="1796"/>
      <c r="V1066" s="1796"/>
      <c r="W1066" s="1796"/>
      <c r="X1066" s="1796"/>
      <c r="Y1066" s="1796"/>
      <c r="Z1066" s="1796"/>
      <c r="AA1066" s="1796"/>
      <c r="AB1066" s="1796"/>
      <c r="AC1066" s="1796"/>
      <c r="AD1066" s="1796"/>
      <c r="AE1066" s="1796"/>
      <c r="AF1066" s="1796"/>
      <c r="AG1066" s="1796"/>
      <c r="AH1066" s="1796"/>
      <c r="AI1066" s="1796"/>
      <c r="AJ1066" s="1796"/>
      <c r="AK1066" s="179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796"/>
      <c r="E1067" s="1796"/>
      <c r="F1067" s="1796"/>
      <c r="G1067" s="1796"/>
      <c r="H1067" s="1796"/>
      <c r="I1067" s="1796"/>
      <c r="J1067" s="1796"/>
      <c r="K1067" s="1796"/>
      <c r="L1067" s="1796"/>
      <c r="M1067" s="1796"/>
      <c r="N1067" s="1796"/>
      <c r="O1067" s="1796"/>
      <c r="P1067" s="1796"/>
      <c r="Q1067" s="1796"/>
      <c r="R1067" s="1796"/>
      <c r="S1067" s="1796"/>
      <c r="T1067" s="1796"/>
      <c r="U1067" s="1796"/>
      <c r="V1067" s="1796"/>
      <c r="W1067" s="1796"/>
      <c r="X1067" s="1796"/>
      <c r="Y1067" s="1796"/>
      <c r="Z1067" s="1796"/>
      <c r="AA1067" s="1796"/>
      <c r="AB1067" s="1796"/>
      <c r="AC1067" s="1796"/>
      <c r="AD1067" s="1796"/>
      <c r="AE1067" s="1796"/>
      <c r="AF1067" s="1796"/>
      <c r="AG1067" s="1796"/>
      <c r="AH1067" s="1796"/>
      <c r="AI1067" s="1796"/>
      <c r="AJ1067" s="1796"/>
      <c r="AK1067" s="1796"/>
    </row>
    <row r="1068" spans="1:96" ht="12.6" customHeight="1">
      <c r="A1068" s="235"/>
      <c r="B1068" s="235"/>
      <c r="C1068" s="13"/>
      <c r="D1068" s="1796"/>
      <c r="E1068" s="1796"/>
      <c r="F1068" s="1796"/>
      <c r="G1068" s="1796"/>
      <c r="H1068" s="1796"/>
      <c r="I1068" s="1796"/>
      <c r="J1068" s="1796"/>
      <c r="K1068" s="1796"/>
      <c r="L1068" s="1796"/>
      <c r="M1068" s="1796"/>
      <c r="N1068" s="1796"/>
      <c r="O1068" s="1796"/>
      <c r="P1068" s="1796"/>
      <c r="Q1068" s="1796"/>
      <c r="R1068" s="1796"/>
      <c r="S1068" s="1796"/>
      <c r="T1068" s="1796"/>
      <c r="U1068" s="1796"/>
      <c r="V1068" s="1796"/>
      <c r="W1068" s="1796"/>
      <c r="X1068" s="1796"/>
      <c r="Y1068" s="1796"/>
      <c r="Z1068" s="1796"/>
      <c r="AA1068" s="1796"/>
      <c r="AB1068" s="1796"/>
      <c r="AC1068" s="1796"/>
      <c r="AD1068" s="1796"/>
      <c r="AE1068" s="1796"/>
      <c r="AF1068" s="1796"/>
      <c r="AG1068" s="1796"/>
      <c r="AH1068" s="1796"/>
      <c r="AI1068" s="1796"/>
      <c r="AJ1068" s="1796"/>
      <c r="AK1068" s="1796"/>
    </row>
    <row r="1069" spans="1:96" ht="12.6" customHeight="1">
      <c r="A1069" s="235"/>
      <c r="B1069" s="235"/>
      <c r="C1069" s="13"/>
      <c r="D1069" s="1796"/>
      <c r="E1069" s="1796"/>
      <c r="F1069" s="1796"/>
      <c r="G1069" s="1796"/>
      <c r="H1069" s="1796"/>
      <c r="I1069" s="1796"/>
      <c r="J1069" s="1796"/>
      <c r="K1069" s="1796"/>
      <c r="L1069" s="1796"/>
      <c r="M1069" s="1796"/>
      <c r="N1069" s="1796"/>
      <c r="O1069" s="1796"/>
      <c r="P1069" s="1796"/>
      <c r="Q1069" s="1796"/>
      <c r="R1069" s="1796"/>
      <c r="S1069" s="1796"/>
      <c r="T1069" s="1796"/>
      <c r="U1069" s="1796"/>
      <c r="V1069" s="1796"/>
      <c r="W1069" s="1796"/>
      <c r="X1069" s="1796"/>
      <c r="Y1069" s="1796"/>
      <c r="Z1069" s="1796"/>
      <c r="AA1069" s="1796"/>
      <c r="AB1069" s="1796"/>
      <c r="AC1069" s="1796"/>
      <c r="AD1069" s="1796"/>
      <c r="AE1069" s="1796"/>
      <c r="AF1069" s="1796"/>
      <c r="AG1069" s="1796"/>
      <c r="AH1069" s="1796"/>
      <c r="AI1069" s="1796"/>
      <c r="AJ1069" s="1796"/>
      <c r="AK1069" s="1796"/>
      <c r="AL1069" s="683"/>
    </row>
    <row r="1070" spans="1:96" ht="12.6" customHeight="1">
      <c r="A1070" s="62"/>
      <c r="B1070" s="66"/>
      <c r="C1070" s="13"/>
      <c r="D1070" s="1796"/>
      <c r="E1070" s="1796"/>
      <c r="F1070" s="1796"/>
      <c r="G1070" s="1796"/>
      <c r="H1070" s="1796"/>
      <c r="I1070" s="1796"/>
      <c r="J1070" s="1796"/>
      <c r="K1070" s="1796"/>
      <c r="L1070" s="1796"/>
      <c r="M1070" s="1796"/>
      <c r="N1070" s="1796"/>
      <c r="O1070" s="1796"/>
      <c r="P1070" s="1796"/>
      <c r="Q1070" s="1796"/>
      <c r="R1070" s="1796"/>
      <c r="S1070" s="1796"/>
      <c r="T1070" s="1796"/>
      <c r="U1070" s="1796"/>
      <c r="V1070" s="1796"/>
      <c r="W1070" s="1796"/>
      <c r="X1070" s="1796"/>
      <c r="Y1070" s="1796"/>
      <c r="Z1070" s="1796"/>
      <c r="AA1070" s="1796"/>
      <c r="AB1070" s="1796"/>
      <c r="AC1070" s="1796"/>
      <c r="AD1070" s="1796"/>
      <c r="AE1070" s="1796"/>
      <c r="AF1070" s="1796"/>
      <c r="AG1070" s="1796"/>
      <c r="AH1070" s="1796"/>
      <c r="AI1070" s="1796"/>
      <c r="AJ1070" s="1796"/>
      <c r="AK1070" s="1796"/>
    </row>
    <row r="1071" spans="1:96" ht="12.6" customHeight="1">
      <c r="A1071" s="1961" t="s">
        <v>628</v>
      </c>
      <c r="B1071" s="1961"/>
      <c r="C1071" s="13">
        <v>6</v>
      </c>
      <c r="D1071" s="1796" t="s">
        <v>1213</v>
      </c>
      <c r="E1071" s="1796"/>
      <c r="F1071" s="1796"/>
      <c r="G1071" s="1796"/>
      <c r="H1071" s="1796"/>
      <c r="I1071" s="1796"/>
      <c r="J1071" s="1796"/>
      <c r="K1071" s="1796"/>
      <c r="L1071" s="1796"/>
      <c r="M1071" s="1796"/>
      <c r="N1071" s="1796"/>
      <c r="O1071" s="1796"/>
      <c r="P1071" s="1796"/>
      <c r="Q1071" s="1796"/>
      <c r="R1071" s="1796"/>
      <c r="S1071" s="1796"/>
      <c r="T1071" s="1796"/>
      <c r="U1071" s="1796"/>
      <c r="V1071" s="1796"/>
      <c r="W1071" s="1796"/>
      <c r="X1071" s="1796"/>
      <c r="Y1071" s="1796"/>
      <c r="Z1071" s="1796"/>
      <c r="AA1071" s="1796"/>
      <c r="AB1071" s="1796"/>
      <c r="AC1071" s="1796"/>
      <c r="AD1071" s="1796"/>
      <c r="AE1071" s="1796"/>
      <c r="AF1071" s="1796"/>
      <c r="AG1071" s="1796"/>
      <c r="AH1071" s="1796"/>
      <c r="AI1071" s="1796"/>
      <c r="AJ1071" s="1796"/>
      <c r="AK1071" s="1796"/>
    </row>
    <row r="1072" spans="1:96" ht="12.6" customHeight="1">
      <c r="A1072" s="62"/>
      <c r="B1072" s="318"/>
      <c r="C1072" s="13"/>
      <c r="D1072" s="1796"/>
      <c r="E1072" s="1796"/>
      <c r="F1072" s="1796"/>
      <c r="G1072" s="1796"/>
      <c r="H1072" s="1796"/>
      <c r="I1072" s="1796"/>
      <c r="J1072" s="1796"/>
      <c r="K1072" s="1796"/>
      <c r="L1072" s="1796"/>
      <c r="M1072" s="1796"/>
      <c r="N1072" s="1796"/>
      <c r="O1072" s="1796"/>
      <c r="P1072" s="1796"/>
      <c r="Q1072" s="1796"/>
      <c r="R1072" s="1796"/>
      <c r="S1072" s="1796"/>
      <c r="T1072" s="1796"/>
      <c r="U1072" s="1796"/>
      <c r="V1072" s="1796"/>
      <c r="W1072" s="1796"/>
      <c r="X1072" s="1796"/>
      <c r="Y1072" s="1796"/>
      <c r="Z1072" s="1796"/>
      <c r="AA1072" s="1796"/>
      <c r="AB1072" s="1796"/>
      <c r="AC1072" s="1796"/>
      <c r="AD1072" s="1796"/>
      <c r="AE1072" s="1796"/>
      <c r="AF1072" s="1796"/>
      <c r="AG1072" s="1796"/>
      <c r="AH1072" s="1796"/>
      <c r="AI1072" s="1796"/>
      <c r="AJ1072" s="1796"/>
      <c r="AK1072" s="1796"/>
    </row>
    <row r="1073" spans="1:96" ht="12.6" customHeight="1">
      <c r="A1073" s="62"/>
      <c r="B1073" s="66"/>
      <c r="C1073" s="13"/>
      <c r="D1073" s="1796"/>
      <c r="E1073" s="1796"/>
      <c r="F1073" s="1796"/>
      <c r="G1073" s="1796"/>
      <c r="H1073" s="1796"/>
      <c r="I1073" s="1796"/>
      <c r="J1073" s="1796"/>
      <c r="K1073" s="1796"/>
      <c r="L1073" s="1796"/>
      <c r="M1073" s="1796"/>
      <c r="N1073" s="1796"/>
      <c r="O1073" s="1796"/>
      <c r="P1073" s="1796"/>
      <c r="Q1073" s="1796"/>
      <c r="R1073" s="1796"/>
      <c r="S1073" s="1796"/>
      <c r="T1073" s="1796"/>
      <c r="U1073" s="1796"/>
      <c r="V1073" s="1796"/>
      <c r="W1073" s="1796"/>
      <c r="X1073" s="1796"/>
      <c r="Y1073" s="1796"/>
      <c r="Z1073" s="1796"/>
      <c r="AA1073" s="1796"/>
      <c r="AB1073" s="1796"/>
      <c r="AC1073" s="1796"/>
      <c r="AD1073" s="1796"/>
      <c r="AE1073" s="1796"/>
      <c r="AF1073" s="1796"/>
      <c r="AG1073" s="1796"/>
      <c r="AH1073" s="1796"/>
      <c r="AI1073" s="1796"/>
      <c r="AJ1073" s="1796"/>
      <c r="AK1073" s="1796"/>
    </row>
    <row r="1074" spans="1:96" ht="12.6" customHeight="1">
      <c r="A1074" s="1961" t="s">
        <v>628</v>
      </c>
      <c r="B1074" s="1961"/>
      <c r="C1074" s="319">
        <v>7</v>
      </c>
      <c r="D1074" s="1796" t="s">
        <v>1215</v>
      </c>
      <c r="E1074" s="1796"/>
      <c r="F1074" s="1796"/>
      <c r="G1074" s="1796"/>
      <c r="H1074" s="1796"/>
      <c r="I1074" s="1796"/>
      <c r="J1074" s="1796"/>
      <c r="K1074" s="1796"/>
      <c r="L1074" s="1796"/>
      <c r="M1074" s="1796"/>
      <c r="N1074" s="1796"/>
      <c r="O1074" s="1796"/>
      <c r="P1074" s="1796"/>
      <c r="Q1074" s="1796"/>
      <c r="R1074" s="1796"/>
      <c r="S1074" s="1796"/>
      <c r="T1074" s="1796"/>
      <c r="U1074" s="1796"/>
      <c r="V1074" s="1796"/>
      <c r="W1074" s="1796"/>
      <c r="X1074" s="1796"/>
      <c r="Y1074" s="1796"/>
      <c r="Z1074" s="1796"/>
      <c r="AA1074" s="1796"/>
      <c r="AB1074" s="1796"/>
      <c r="AC1074" s="1796"/>
      <c r="AD1074" s="1796"/>
      <c r="AE1074" s="1796"/>
      <c r="AF1074" s="1796"/>
      <c r="AG1074" s="1796"/>
      <c r="AH1074" s="1796"/>
      <c r="AI1074" s="1796"/>
      <c r="AJ1074" s="1796"/>
      <c r="AK1074" s="1796"/>
      <c r="AL1074" s="32"/>
      <c r="AM1074" s="1432"/>
      <c r="AN1074" s="1432"/>
      <c r="AO1074" s="1432"/>
      <c r="AP1074" s="1432"/>
      <c r="AQ1074" s="1432"/>
      <c r="AR1074" s="1432"/>
      <c r="AS1074" s="1432"/>
      <c r="AT1074" s="1432"/>
      <c r="AU1074" s="1432"/>
      <c r="AV1074" s="1432"/>
      <c r="AW1074" s="1432"/>
      <c r="AX1074" s="1432"/>
      <c r="AY1074" s="1432"/>
    </row>
    <row r="1075" spans="1:96" ht="12.6" customHeight="1">
      <c r="A1075" s="235"/>
      <c r="B1075" s="235"/>
      <c r="C1075" s="320"/>
      <c r="D1075" s="1796"/>
      <c r="E1075" s="1796"/>
      <c r="F1075" s="1796"/>
      <c r="G1075" s="1796"/>
      <c r="H1075" s="1796"/>
      <c r="I1075" s="1796"/>
      <c r="J1075" s="1796"/>
      <c r="K1075" s="1796"/>
      <c r="L1075" s="1796"/>
      <c r="M1075" s="1796"/>
      <c r="N1075" s="1796"/>
      <c r="O1075" s="1796"/>
      <c r="P1075" s="1796"/>
      <c r="Q1075" s="1796"/>
      <c r="R1075" s="1796"/>
      <c r="S1075" s="1796"/>
      <c r="T1075" s="1796"/>
      <c r="U1075" s="1796"/>
      <c r="V1075" s="1796"/>
      <c r="W1075" s="1796"/>
      <c r="X1075" s="1796"/>
      <c r="Y1075" s="1796"/>
      <c r="Z1075" s="1796"/>
      <c r="AA1075" s="1796"/>
      <c r="AB1075" s="1796"/>
      <c r="AC1075" s="1796"/>
      <c r="AD1075" s="1796"/>
      <c r="AE1075" s="1796"/>
      <c r="AF1075" s="1796"/>
      <c r="AG1075" s="1796"/>
      <c r="AH1075" s="1796"/>
      <c r="AI1075" s="1796"/>
      <c r="AJ1075" s="1796"/>
      <c r="AK1075" s="1796"/>
    </row>
    <row r="1076" spans="1:96" ht="12.6" customHeight="1">
      <c r="A1076" s="235"/>
      <c r="B1076" s="235"/>
      <c r="C1076" s="320"/>
      <c r="D1076" s="1796"/>
      <c r="E1076" s="1796"/>
      <c r="F1076" s="1796"/>
      <c r="G1076" s="1796"/>
      <c r="H1076" s="1796"/>
      <c r="I1076" s="1796"/>
      <c r="J1076" s="1796"/>
      <c r="K1076" s="1796"/>
      <c r="L1076" s="1796"/>
      <c r="M1076" s="1796"/>
      <c r="N1076" s="1796"/>
      <c r="O1076" s="1796"/>
      <c r="P1076" s="1796"/>
      <c r="Q1076" s="1796"/>
      <c r="R1076" s="1796"/>
      <c r="S1076" s="1796"/>
      <c r="T1076" s="1796"/>
      <c r="U1076" s="1796"/>
      <c r="V1076" s="1796"/>
      <c r="W1076" s="1796"/>
      <c r="X1076" s="1796"/>
      <c r="Y1076" s="1796"/>
      <c r="Z1076" s="1796"/>
      <c r="AA1076" s="1796"/>
      <c r="AB1076" s="1796"/>
      <c r="AC1076" s="1796"/>
      <c r="AD1076" s="1796"/>
      <c r="AE1076" s="1796"/>
      <c r="AF1076" s="1796"/>
      <c r="AG1076" s="1796"/>
      <c r="AH1076" s="1796"/>
      <c r="AI1076" s="1796"/>
      <c r="AJ1076" s="1796"/>
      <c r="AK1076" s="1796"/>
    </row>
    <row r="1077" spans="1:96" s="683" customFormat="1" ht="12.6" customHeight="1">
      <c r="A1077" s="62"/>
      <c r="B1077" s="66"/>
      <c r="C1077" s="319"/>
      <c r="D1077" s="1796"/>
      <c r="E1077" s="1796"/>
      <c r="F1077" s="1796"/>
      <c r="G1077" s="1796"/>
      <c r="H1077" s="1796"/>
      <c r="I1077" s="1796"/>
      <c r="J1077" s="1796"/>
      <c r="K1077" s="1796"/>
      <c r="L1077" s="1796"/>
      <c r="M1077" s="1796"/>
      <c r="N1077" s="1796"/>
      <c r="O1077" s="1796"/>
      <c r="P1077" s="1796"/>
      <c r="Q1077" s="1796"/>
      <c r="R1077" s="1796"/>
      <c r="S1077" s="1796"/>
      <c r="T1077" s="1796"/>
      <c r="U1077" s="1796"/>
      <c r="V1077" s="1796"/>
      <c r="W1077" s="1796"/>
      <c r="X1077" s="1796"/>
      <c r="Y1077" s="1796"/>
      <c r="Z1077" s="1796"/>
      <c r="AA1077" s="1796"/>
      <c r="AB1077" s="1796"/>
      <c r="AC1077" s="1796"/>
      <c r="AD1077" s="1796"/>
      <c r="AE1077" s="1796"/>
      <c r="AF1077" s="1796"/>
      <c r="AG1077" s="1796"/>
      <c r="AH1077" s="1796"/>
      <c r="AI1077" s="1796"/>
      <c r="AJ1077" s="1796"/>
      <c r="AK1077" s="1796"/>
      <c r="AL1077" s="12"/>
      <c r="AM1077" s="39"/>
      <c r="AN1077" s="39"/>
      <c r="AO1077" s="39"/>
      <c r="AP1077" s="39"/>
      <c r="AQ1077" s="39"/>
      <c r="AR1077" s="39"/>
      <c r="AS1077" s="39"/>
      <c r="AT1077" s="39"/>
      <c r="AU1077" s="39"/>
      <c r="AV1077" s="39"/>
      <c r="AW1077" s="39"/>
      <c r="AX1077" s="39"/>
      <c r="AY1077" s="39"/>
      <c r="CR1077" s="25"/>
    </row>
    <row r="1078" spans="1:96" ht="12.6" customHeight="1">
      <c r="A1078" s="1961" t="s">
        <v>628</v>
      </c>
      <c r="B1078" s="1961"/>
      <c r="C1078" s="319">
        <v>8</v>
      </c>
      <c r="D1078" s="2204" t="s">
        <v>2187</v>
      </c>
      <c r="E1078" s="2204"/>
      <c r="F1078" s="2204"/>
      <c r="G1078" s="2204"/>
      <c r="H1078" s="2204"/>
      <c r="I1078" s="2204"/>
      <c r="J1078" s="2204"/>
      <c r="K1078" s="2204"/>
      <c r="L1078" s="2204"/>
      <c r="M1078" s="2204"/>
      <c r="N1078" s="2204"/>
      <c r="O1078" s="2204"/>
      <c r="P1078" s="2204"/>
      <c r="Q1078" s="2204"/>
      <c r="R1078" s="2204"/>
      <c r="S1078" s="2204"/>
      <c r="T1078" s="2204"/>
      <c r="U1078" s="2204"/>
      <c r="V1078" s="2204"/>
      <c r="W1078" s="2204"/>
      <c r="X1078" s="2204"/>
      <c r="Y1078" s="2204"/>
      <c r="Z1078" s="2204"/>
      <c r="AA1078" s="2204"/>
      <c r="AB1078" s="2204"/>
      <c r="AC1078" s="2204"/>
      <c r="AD1078" s="2204"/>
      <c r="AE1078" s="2204"/>
      <c r="AF1078" s="2204"/>
      <c r="AG1078" s="2204"/>
      <c r="AH1078" s="2204"/>
      <c r="AI1078" s="2204"/>
      <c r="AJ1078" s="2204"/>
      <c r="AK1078" s="2204"/>
    </row>
    <row r="1079" spans="1:96" ht="12.6" customHeight="1">
      <c r="A1079" s="235"/>
      <c r="B1079" s="235"/>
      <c r="C1079" s="319"/>
      <c r="D1079" s="2204"/>
      <c r="E1079" s="2204"/>
      <c r="F1079" s="2204"/>
      <c r="G1079" s="2204"/>
      <c r="H1079" s="2204"/>
      <c r="I1079" s="2204"/>
      <c r="J1079" s="2204"/>
      <c r="K1079" s="2204"/>
      <c r="L1079" s="2204"/>
      <c r="M1079" s="2204"/>
      <c r="N1079" s="2204"/>
      <c r="O1079" s="2204"/>
      <c r="P1079" s="2204"/>
      <c r="Q1079" s="2204"/>
      <c r="R1079" s="2204"/>
      <c r="S1079" s="2204"/>
      <c r="T1079" s="2204"/>
      <c r="U1079" s="2204"/>
      <c r="V1079" s="2204"/>
      <c r="W1079" s="2204"/>
      <c r="X1079" s="2204"/>
      <c r="Y1079" s="2204"/>
      <c r="Z1079" s="2204"/>
      <c r="AA1079" s="2204"/>
      <c r="AB1079" s="2204"/>
      <c r="AC1079" s="2204"/>
      <c r="AD1079" s="2204"/>
      <c r="AE1079" s="2204"/>
      <c r="AF1079" s="2204"/>
      <c r="AG1079" s="2204"/>
      <c r="AH1079" s="2204"/>
      <c r="AI1079" s="2204"/>
      <c r="AJ1079" s="2204"/>
      <c r="AK1079" s="2204"/>
    </row>
    <row r="1080" spans="1:96" ht="12.6" customHeight="1">
      <c r="A1080" s="235"/>
      <c r="B1080" s="235"/>
      <c r="C1080" s="319"/>
      <c r="D1080" s="2204"/>
      <c r="E1080" s="2204"/>
      <c r="F1080" s="2204"/>
      <c r="G1080" s="2204"/>
      <c r="H1080" s="2204"/>
      <c r="I1080" s="2204"/>
      <c r="J1080" s="2204"/>
      <c r="K1080" s="2204"/>
      <c r="L1080" s="2204"/>
      <c r="M1080" s="2204"/>
      <c r="N1080" s="2204"/>
      <c r="O1080" s="2204"/>
      <c r="P1080" s="2204"/>
      <c r="Q1080" s="2204"/>
      <c r="R1080" s="2204"/>
      <c r="S1080" s="2204"/>
      <c r="T1080" s="2204"/>
      <c r="U1080" s="2204"/>
      <c r="V1080" s="2204"/>
      <c r="W1080" s="2204"/>
      <c r="X1080" s="2204"/>
      <c r="Y1080" s="2204"/>
      <c r="Z1080" s="2204"/>
      <c r="AA1080" s="2204"/>
      <c r="AB1080" s="2204"/>
      <c r="AC1080" s="2204"/>
      <c r="AD1080" s="2204"/>
      <c r="AE1080" s="2204"/>
      <c r="AF1080" s="2204"/>
      <c r="AG1080" s="2204"/>
      <c r="AH1080" s="2204"/>
      <c r="AI1080" s="2204"/>
      <c r="AJ1080" s="2204"/>
      <c r="AK1080" s="2204"/>
      <c r="AL1080" s="683"/>
    </row>
    <row r="1081" spans="1:96" ht="12" customHeight="1">
      <c r="A1081" s="62"/>
      <c r="B1081" s="66"/>
      <c r="C1081" s="319"/>
      <c r="D1081" s="2204"/>
      <c r="E1081" s="2204"/>
      <c r="F1081" s="2204"/>
      <c r="G1081" s="2204"/>
      <c r="H1081" s="2204"/>
      <c r="I1081" s="2204"/>
      <c r="J1081" s="2204"/>
      <c r="K1081" s="2204"/>
      <c r="L1081" s="2204"/>
      <c r="M1081" s="2204"/>
      <c r="N1081" s="2204"/>
      <c r="O1081" s="2204"/>
      <c r="P1081" s="2204"/>
      <c r="Q1081" s="2204"/>
      <c r="R1081" s="2204"/>
      <c r="S1081" s="2204"/>
      <c r="T1081" s="2204"/>
      <c r="U1081" s="2204"/>
      <c r="V1081" s="2204"/>
      <c r="W1081" s="2204"/>
      <c r="X1081" s="2204"/>
      <c r="Y1081" s="2204"/>
      <c r="Z1081" s="2204"/>
      <c r="AA1081" s="2204"/>
      <c r="AB1081" s="2204"/>
      <c r="AC1081" s="2204"/>
      <c r="AD1081" s="2204"/>
      <c r="AE1081" s="2204"/>
      <c r="AF1081" s="2204"/>
      <c r="AG1081" s="2204"/>
      <c r="AH1081" s="2204"/>
      <c r="AI1081" s="2204"/>
      <c r="AJ1081" s="2204"/>
      <c r="AK1081" s="2204"/>
    </row>
    <row r="1082" spans="1:96" ht="12.6" customHeight="1">
      <c r="A1082" s="1961" t="s">
        <v>628</v>
      </c>
      <c r="B1082" s="1961"/>
      <c r="C1082" s="319">
        <v>9</v>
      </c>
      <c r="D1082" s="1796" t="s">
        <v>1214</v>
      </c>
      <c r="E1082" s="1796"/>
      <c r="F1082" s="1796"/>
      <c r="G1082" s="1796"/>
      <c r="H1082" s="1796"/>
      <c r="I1082" s="1796"/>
      <c r="J1082" s="1796"/>
      <c r="K1082" s="1796"/>
      <c r="L1082" s="1796"/>
      <c r="M1082" s="1796"/>
      <c r="N1082" s="1796"/>
      <c r="O1082" s="1796"/>
      <c r="P1082" s="1796"/>
      <c r="Q1082" s="1796"/>
      <c r="R1082" s="1796"/>
      <c r="S1082" s="1796"/>
      <c r="T1082" s="1796"/>
      <c r="U1082" s="1796"/>
      <c r="V1082" s="1796"/>
      <c r="W1082" s="1796"/>
      <c r="X1082" s="1796"/>
      <c r="Y1082" s="1796"/>
      <c r="Z1082" s="1796"/>
      <c r="AA1082" s="1796"/>
      <c r="AB1082" s="1796"/>
      <c r="AC1082" s="1796"/>
      <c r="AD1082" s="1796"/>
      <c r="AE1082" s="1796"/>
      <c r="AF1082" s="1796"/>
      <c r="AG1082" s="1796"/>
      <c r="AH1082" s="1796"/>
      <c r="AI1082" s="1796"/>
      <c r="AJ1082" s="1796"/>
      <c r="AK1082" s="1796"/>
    </row>
    <row r="1083" spans="1:96" ht="15" customHeight="1">
      <c r="A1083" s="62"/>
      <c r="B1083" s="66"/>
      <c r="C1083" s="319"/>
      <c r="D1083" s="1796"/>
      <c r="E1083" s="1796"/>
      <c r="F1083" s="1796"/>
      <c r="G1083" s="1796"/>
      <c r="H1083" s="1796"/>
      <c r="I1083" s="1796"/>
      <c r="J1083" s="1796"/>
      <c r="K1083" s="1796"/>
      <c r="L1083" s="1796"/>
      <c r="M1083" s="1796"/>
      <c r="N1083" s="1796"/>
      <c r="O1083" s="1796"/>
      <c r="P1083" s="1796"/>
      <c r="Q1083" s="1796"/>
      <c r="R1083" s="1796"/>
      <c r="S1083" s="1796"/>
      <c r="T1083" s="1796"/>
      <c r="U1083" s="1796"/>
      <c r="V1083" s="1796"/>
      <c r="W1083" s="1796"/>
      <c r="X1083" s="1796"/>
      <c r="Y1083" s="1796"/>
      <c r="Z1083" s="1796"/>
      <c r="AA1083" s="1796"/>
      <c r="AB1083" s="1796"/>
      <c r="AC1083" s="1796"/>
      <c r="AD1083" s="1796"/>
      <c r="AE1083" s="1796"/>
      <c r="AF1083" s="1796"/>
      <c r="AG1083" s="1796"/>
      <c r="AH1083" s="1796"/>
      <c r="AI1083" s="1796"/>
      <c r="AJ1083" s="1796"/>
      <c r="AK1083" s="1796"/>
    </row>
    <row r="1084" spans="1:96" ht="15" customHeight="1">
      <c r="D1084" s="1796"/>
      <c r="E1084" s="1796"/>
      <c r="F1084" s="1796"/>
      <c r="G1084" s="1796"/>
      <c r="H1084" s="1796"/>
      <c r="I1084" s="1796"/>
      <c r="J1084" s="1796"/>
      <c r="K1084" s="1796"/>
      <c r="L1084" s="1796"/>
      <c r="M1084" s="1796"/>
      <c r="N1084" s="1796"/>
      <c r="O1084" s="1796"/>
      <c r="P1084" s="1796"/>
      <c r="Q1084" s="1796"/>
      <c r="R1084" s="1796"/>
      <c r="S1084" s="1796"/>
      <c r="T1084" s="1796"/>
      <c r="U1084" s="1796"/>
      <c r="V1084" s="1796"/>
      <c r="W1084" s="1796"/>
      <c r="X1084" s="1796"/>
      <c r="Y1084" s="1796"/>
      <c r="Z1084" s="1796"/>
      <c r="AA1084" s="1796"/>
      <c r="AB1084" s="1796"/>
      <c r="AC1084" s="1796"/>
      <c r="AD1084" s="1796"/>
      <c r="AE1084" s="1796"/>
      <c r="AF1084" s="1796"/>
      <c r="AG1084" s="1796"/>
      <c r="AH1084" s="1796"/>
      <c r="AI1084" s="1796"/>
      <c r="AJ1084" s="1796"/>
      <c r="AK1084" s="1796"/>
    </row>
    <row r="1085" spans="1:96" ht="15" customHeight="1"/>
    <row r="1086" spans="1:96" ht="15" hidden="1" customHeight="1"/>
    <row r="1087" spans="1:96" ht="15" hidden="1" customHeight="1"/>
  </sheetData>
  <sheetProtection algorithmName="SHA-512" hashValue="hDWekbMBhI7r9ls694ldxarNtwr3kkhW2PU4l8sTfIz+CttQeeM0wAljxy6/YqhjpBsrEEVJdZQHym9jue3PAQ==" saltValue="KUG2XY5RvdlKtJEPL3vlU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H524:AK524"/>
    <mergeCell ref="Z564:AD5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AG438:AJ438"/>
    <mergeCell ref="AG442:AJ442"/>
    <mergeCell ref="AG443:AJ443"/>
    <mergeCell ref="AC453:AF453"/>
    <mergeCell ref="Z433:AA433"/>
    <mergeCell ref="AD411:AE411"/>
    <mergeCell ref="D441:AF441"/>
    <mergeCell ref="AE401:AJ401"/>
    <mergeCell ref="K403:AJ403"/>
    <mergeCell ref="P424:Q424"/>
    <mergeCell ref="AI338:AK338"/>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I417:K417"/>
    <mergeCell ref="AD410:AE410"/>
    <mergeCell ref="F426:AH427"/>
    <mergeCell ref="R411:S411"/>
    <mergeCell ref="T491:X491"/>
    <mergeCell ref="AC529:AF529"/>
    <mergeCell ref="E419:AJ419"/>
    <mergeCell ref="Z574:AD574"/>
    <mergeCell ref="AC520:AF520"/>
    <mergeCell ref="AH528:AK528"/>
    <mergeCell ref="AG392:AJ392"/>
    <mergeCell ref="AC525:AF525"/>
    <mergeCell ref="Y491:AC491"/>
    <mergeCell ref="AE567:AH567"/>
    <mergeCell ref="T490:X490"/>
    <mergeCell ref="AG439:AJ439"/>
    <mergeCell ref="D438:AF438"/>
    <mergeCell ref="T398:AJ398"/>
    <mergeCell ref="D442:AF442"/>
    <mergeCell ref="D443:AF443"/>
    <mergeCell ref="S412:T412"/>
    <mergeCell ref="D448:AF448"/>
    <mergeCell ref="AF429:AG429"/>
    <mergeCell ref="AG447:AJ447"/>
    <mergeCell ref="D470:V470"/>
    <mergeCell ref="AH521:AK521"/>
    <mergeCell ref="D444:AF444"/>
    <mergeCell ref="T569:V569"/>
    <mergeCell ref="L520:AB520"/>
    <mergeCell ref="T492:X492"/>
    <mergeCell ref="B529:H531"/>
    <mergeCell ref="AC537:AF537"/>
    <mergeCell ref="D445:AF445"/>
    <mergeCell ref="D446:AF446"/>
    <mergeCell ref="AG441:AJ441"/>
    <mergeCell ref="AG440:AJ440"/>
    <mergeCell ref="W417:Y417"/>
    <mergeCell ref="D447:AF447"/>
    <mergeCell ref="AG444:AJ444"/>
    <mergeCell ref="AG445:AJ445"/>
    <mergeCell ref="Q503:AK503"/>
    <mergeCell ref="AG446:AJ446"/>
    <mergeCell ref="D405:AJ406"/>
    <mergeCell ref="D439:AF439"/>
    <mergeCell ref="AG437:AJ437"/>
    <mergeCell ref="AE423:AF423"/>
    <mergeCell ref="E417:G417"/>
    <mergeCell ref="Z431:AA43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AC527:AF527"/>
    <mergeCell ref="AC526:AF526"/>
    <mergeCell ref="O547:AA547"/>
    <mergeCell ref="AH548:AK548"/>
    <mergeCell ref="T573:V573"/>
    <mergeCell ref="AH535:AK535"/>
    <mergeCell ref="AC534:AF534"/>
    <mergeCell ref="AH534:AK534"/>
    <mergeCell ref="H583:R583"/>
    <mergeCell ref="H592:R592"/>
    <mergeCell ref="G605:R605"/>
    <mergeCell ref="G606:R606"/>
    <mergeCell ref="AE563:AH563"/>
    <mergeCell ref="AM574:AS574"/>
    <mergeCell ref="G578:R578"/>
    <mergeCell ref="Z563:AD563"/>
    <mergeCell ref="AE564:AH564"/>
    <mergeCell ref="AM563:AS563"/>
    <mergeCell ref="AM567:AS567"/>
    <mergeCell ref="AE565:AH565"/>
    <mergeCell ref="B563:P563"/>
    <mergeCell ref="C564:P564"/>
    <mergeCell ref="C565:P565"/>
    <mergeCell ref="Q564:S564"/>
    <mergeCell ref="Q565:S565"/>
    <mergeCell ref="G580:R580"/>
    <mergeCell ref="G581:R581"/>
    <mergeCell ref="G595:R595"/>
    <mergeCell ref="AG585:AH585"/>
    <mergeCell ref="AE575:AH575"/>
    <mergeCell ref="AM576:AS576"/>
    <mergeCell ref="AM571:AS571"/>
    <mergeCell ref="AI565:AL565"/>
    <mergeCell ref="AE566:AH566"/>
    <mergeCell ref="Z575:AD575"/>
    <mergeCell ref="AH515:AK515"/>
    <mergeCell ref="AH554:AK554"/>
    <mergeCell ref="AC550:AF550"/>
    <mergeCell ref="D449:AF449"/>
    <mergeCell ref="D450:AJ451"/>
    <mergeCell ref="W469:Y469"/>
    <mergeCell ref="AD492:AH492"/>
    <mergeCell ref="AC512:AF512"/>
    <mergeCell ref="W464:Y464"/>
    <mergeCell ref="T486:X486"/>
    <mergeCell ref="Y490:AC490"/>
    <mergeCell ref="AD488:AH488"/>
    <mergeCell ref="AD486:AH486"/>
    <mergeCell ref="O535:AA535"/>
    <mergeCell ref="B532:H554"/>
    <mergeCell ref="AH527:AK527"/>
    <mergeCell ref="AC528:AF528"/>
    <mergeCell ref="O538:AA538"/>
    <mergeCell ref="AC519:AF519"/>
    <mergeCell ref="AC455:AF455"/>
    <mergeCell ref="B513:H514"/>
    <mergeCell ref="AH525:AK525"/>
    <mergeCell ref="AC524:AF524"/>
    <mergeCell ref="AC522:AF522"/>
    <mergeCell ref="AH522:AK522"/>
    <mergeCell ref="AH532:AK532"/>
    <mergeCell ref="AH542:AK542"/>
    <mergeCell ref="O532:AA532"/>
    <mergeCell ref="AC539:AF539"/>
    <mergeCell ref="AC535:AF535"/>
    <mergeCell ref="Q500:AK500"/>
    <mergeCell ref="Q497:AK497"/>
    <mergeCell ref="Q499:AK499"/>
    <mergeCell ref="AC544:AF544"/>
    <mergeCell ref="AC545:AF545"/>
    <mergeCell ref="AH545:AK545"/>
    <mergeCell ref="T494:X494"/>
    <mergeCell ref="Y495:AC495"/>
    <mergeCell ref="AC516:AF516"/>
    <mergeCell ref="Q498:AK498"/>
    <mergeCell ref="AH512:AK512"/>
    <mergeCell ref="Q501:R502"/>
    <mergeCell ref="BE619:BF619"/>
    <mergeCell ref="P599:R599"/>
    <mergeCell ref="BE614:BF614"/>
    <mergeCell ref="G611:R611"/>
    <mergeCell ref="AC517:AF517"/>
    <mergeCell ref="Z607:AE607"/>
    <mergeCell ref="AH520:AK520"/>
    <mergeCell ref="AM565:AS565"/>
    <mergeCell ref="Z605:AK605"/>
    <mergeCell ref="Z591:AE591"/>
    <mergeCell ref="Z596:AK596"/>
    <mergeCell ref="AH550:AK550"/>
    <mergeCell ref="AH552:AK552"/>
    <mergeCell ref="AC552:AF552"/>
    <mergeCell ref="AC551:AF551"/>
    <mergeCell ref="G604:R604"/>
    <mergeCell ref="AG617:AH617"/>
    <mergeCell ref="H616:R616"/>
    <mergeCell ref="T568:V568"/>
    <mergeCell ref="B501:P502"/>
    <mergeCell ref="AC518:AF518"/>
    <mergeCell ref="Z567:AD567"/>
    <mergeCell ref="P615:R615"/>
    <mergeCell ref="BE611:BF611"/>
    <mergeCell ref="AM568:AS568"/>
    <mergeCell ref="AI570:AL570"/>
    <mergeCell ref="AE424:AF424"/>
    <mergeCell ref="D467:V467"/>
    <mergeCell ref="Q563:S563"/>
    <mergeCell ref="W565:Y565"/>
    <mergeCell ref="W566:Y566"/>
    <mergeCell ref="AI564:AL564"/>
    <mergeCell ref="AI566:AL566"/>
    <mergeCell ref="AI563:AL563"/>
    <mergeCell ref="A556:AS557"/>
    <mergeCell ref="AC553:AF553"/>
    <mergeCell ref="AC538:AF538"/>
    <mergeCell ref="D436:AF436"/>
    <mergeCell ref="Q428:R428"/>
    <mergeCell ref="A478:AL479"/>
    <mergeCell ref="AC536:AF536"/>
    <mergeCell ref="AD484:AH485"/>
    <mergeCell ref="AI615:AK615"/>
    <mergeCell ref="Z603:AK603"/>
    <mergeCell ref="G589:R589"/>
    <mergeCell ref="AI599:AK599"/>
    <mergeCell ref="Z587:AK587"/>
    <mergeCell ref="Z598:AK598"/>
    <mergeCell ref="Z597:AK597"/>
    <mergeCell ref="Z581:AK581"/>
    <mergeCell ref="N593:O593"/>
    <mergeCell ref="G603:R603"/>
    <mergeCell ref="G591:L591"/>
    <mergeCell ref="Y494:AC494"/>
    <mergeCell ref="Q568:S568"/>
    <mergeCell ref="AC546:AF546"/>
    <mergeCell ref="AH533:AK533"/>
    <mergeCell ref="AH519:AK519"/>
    <mergeCell ref="AH516:AK516"/>
    <mergeCell ref="AH530:AK530"/>
    <mergeCell ref="AH546:AK546"/>
    <mergeCell ref="Z580:AK580"/>
    <mergeCell ref="Z582:AE582"/>
    <mergeCell ref="T572:V572"/>
    <mergeCell ref="AA600:AK600"/>
    <mergeCell ref="P607:R607"/>
    <mergeCell ref="G597:R597"/>
    <mergeCell ref="G588:R588"/>
    <mergeCell ref="AG593:AH593"/>
    <mergeCell ref="AI591:AK591"/>
    <mergeCell ref="Z588:AK588"/>
    <mergeCell ref="AH540:AK540"/>
    <mergeCell ref="AC543:AF543"/>
    <mergeCell ref="AH543:AK543"/>
    <mergeCell ref="AE570:AH570"/>
    <mergeCell ref="AH547:AK547"/>
    <mergeCell ref="AC547:AF547"/>
    <mergeCell ref="AH549:AK549"/>
    <mergeCell ref="AC540:AF540"/>
    <mergeCell ref="O541:AA541"/>
    <mergeCell ref="AI575:AL575"/>
    <mergeCell ref="AI568:AL568"/>
    <mergeCell ref="T567:V567"/>
    <mergeCell ref="AE571:AH571"/>
    <mergeCell ref="AI571:AL571"/>
    <mergeCell ref="AI573:AL573"/>
    <mergeCell ref="BX630:CB630"/>
    <mergeCell ref="BN649:BR649"/>
    <mergeCell ref="BX648:CB648"/>
    <mergeCell ref="BN642:BR642"/>
    <mergeCell ref="Y488:AC488"/>
    <mergeCell ref="AI567:AL567"/>
    <mergeCell ref="AC514:AF514"/>
    <mergeCell ref="Q505:AK505"/>
    <mergeCell ref="T489:X489"/>
    <mergeCell ref="Y492:AC492"/>
    <mergeCell ref="Z565:AD565"/>
    <mergeCell ref="AM570:AS570"/>
    <mergeCell ref="Z579:AK579"/>
    <mergeCell ref="Z572:AD572"/>
    <mergeCell ref="Q571:S571"/>
    <mergeCell ref="Q572:S572"/>
    <mergeCell ref="AH529:AK529"/>
    <mergeCell ref="T495:X495"/>
    <mergeCell ref="AC531:AF531"/>
    <mergeCell ref="AC533:AF533"/>
    <mergeCell ref="BN633:BR633"/>
    <mergeCell ref="BE633:BF633"/>
    <mergeCell ref="BE630:BF630"/>
    <mergeCell ref="BK632:BL632"/>
    <mergeCell ref="BN632:BR632"/>
    <mergeCell ref="BS640:BW640"/>
    <mergeCell ref="BE616:BF616"/>
    <mergeCell ref="G614:R614"/>
    <mergeCell ref="AE573:AH573"/>
    <mergeCell ref="Z573:AD573"/>
    <mergeCell ref="G582:L582"/>
    <mergeCell ref="AM573:AS573"/>
    <mergeCell ref="CH629:CL629"/>
    <mergeCell ref="D437:AF437"/>
    <mergeCell ref="AH518:AK518"/>
    <mergeCell ref="AC542:AF542"/>
    <mergeCell ref="AC521:AF521"/>
    <mergeCell ref="AI574:AL574"/>
    <mergeCell ref="Z571:AD571"/>
    <mergeCell ref="AH526:AK526"/>
    <mergeCell ref="AM575:AS575"/>
    <mergeCell ref="T571:V571"/>
    <mergeCell ref="T493:X493"/>
    <mergeCell ref="Z566:AD566"/>
    <mergeCell ref="AA616:AK616"/>
    <mergeCell ref="BS620:BW620"/>
    <mergeCell ref="BE624:BF624"/>
    <mergeCell ref="BX624:CB624"/>
    <mergeCell ref="BS622:BW622"/>
    <mergeCell ref="BX622:CB622"/>
    <mergeCell ref="BG623:BH623"/>
    <mergeCell ref="BI622:BJ622"/>
    <mergeCell ref="CC614:CG614"/>
    <mergeCell ref="BX623:CB623"/>
    <mergeCell ref="CC623:CG623"/>
    <mergeCell ref="CH625:CL625"/>
    <mergeCell ref="BG616:BH616"/>
    <mergeCell ref="BI616:BJ616"/>
    <mergeCell ref="BG618:BH618"/>
    <mergeCell ref="AH538:AK538"/>
    <mergeCell ref="C566:P566"/>
    <mergeCell ref="C567:P567"/>
    <mergeCell ref="AH553:AK553"/>
    <mergeCell ref="AE574:AH574"/>
    <mergeCell ref="BG634:BH634"/>
    <mergeCell ref="BI634:BJ634"/>
    <mergeCell ref="BE618:BF618"/>
    <mergeCell ref="BE627:BF627"/>
    <mergeCell ref="BI627:BJ627"/>
    <mergeCell ref="BE625:BF625"/>
    <mergeCell ref="BN624:BR624"/>
    <mergeCell ref="BN613:BR613"/>
    <mergeCell ref="BK614:BL614"/>
    <mergeCell ref="BK613:BL613"/>
    <mergeCell ref="BK610:BL610"/>
    <mergeCell ref="BE613:BF613"/>
    <mergeCell ref="BE612:BF612"/>
    <mergeCell ref="BN619:BR619"/>
    <mergeCell ref="BI623:BJ623"/>
    <mergeCell ref="BE621:BF621"/>
    <mergeCell ref="BG626:BH626"/>
    <mergeCell ref="BE620:BF620"/>
    <mergeCell ref="BI624:BJ624"/>
    <mergeCell ref="BE617:BF617"/>
    <mergeCell ref="BN617:BR617"/>
    <mergeCell ref="BG620:BH620"/>
    <mergeCell ref="BI620:BJ620"/>
    <mergeCell ref="BK620:BL620"/>
    <mergeCell ref="BN620:BR620"/>
    <mergeCell ref="BE626:BF626"/>
    <mergeCell ref="BG624:BH624"/>
    <mergeCell ref="BG619:BH619"/>
    <mergeCell ref="BN625:BR625"/>
    <mergeCell ref="BE623:BF623"/>
    <mergeCell ref="BE622:BF622"/>
    <mergeCell ref="BE610:BF610"/>
    <mergeCell ref="CH640:CL640"/>
    <mergeCell ref="CM632:CQ632"/>
    <mergeCell ref="CC632:CG632"/>
    <mergeCell ref="CH632:CL632"/>
    <mergeCell ref="BX632:CB632"/>
    <mergeCell ref="CM633:CQ633"/>
    <mergeCell ref="CM634:CQ634"/>
    <mergeCell ref="CM635:CQ635"/>
    <mergeCell ref="CH633:CL633"/>
    <mergeCell ref="BG630:BH630"/>
    <mergeCell ref="BI630:BJ630"/>
    <mergeCell ref="BK630:BL630"/>
    <mergeCell ref="BN630:BR630"/>
    <mergeCell ref="BS630:BW630"/>
    <mergeCell ref="BN631:BR631"/>
    <mergeCell ref="BS631:BW631"/>
    <mergeCell ref="BX663:CB663"/>
    <mergeCell ref="CC649:CG649"/>
    <mergeCell ref="CC648:CG648"/>
    <mergeCell ref="CC642:CG642"/>
    <mergeCell ref="CH651:CL651"/>
    <mergeCell ref="CC651:CG651"/>
    <mergeCell ref="CH648:CL648"/>
    <mergeCell ref="CH641:CL641"/>
    <mergeCell ref="CM636:CQ636"/>
    <mergeCell ref="BX650:CB650"/>
    <mergeCell ref="CM655:CQ655"/>
    <mergeCell ref="CH663:CL663"/>
    <mergeCell ref="CC650:CG650"/>
    <mergeCell ref="BX649:CB649"/>
    <mergeCell ref="CM640:CQ640"/>
    <mergeCell ref="CC641:CG641"/>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CH630:CL630"/>
    <mergeCell ref="BN626:BR626"/>
    <mergeCell ref="BK627:BL627"/>
    <mergeCell ref="BI626:BJ626"/>
    <mergeCell ref="BK626:BL626"/>
    <mergeCell ref="CC635:CG635"/>
    <mergeCell ref="BS632:BW632"/>
    <mergeCell ref="BG631:BH631"/>
    <mergeCell ref="BI631:BJ631"/>
    <mergeCell ref="BK631:BL631"/>
    <mergeCell ref="BG629:BH629"/>
    <mergeCell ref="CC630:CG630"/>
    <mergeCell ref="BN641:BR641"/>
    <mergeCell ref="BX625:CB625"/>
    <mergeCell ref="CC625:CG625"/>
    <mergeCell ref="CC624:CG624"/>
    <mergeCell ref="CC622:CG622"/>
    <mergeCell ref="CC618:CG618"/>
    <mergeCell ref="BX641:CB641"/>
    <mergeCell ref="BX634:CB634"/>
    <mergeCell ref="CC634:CG634"/>
    <mergeCell ref="BX633:CB633"/>
    <mergeCell ref="CC633:CG633"/>
    <mergeCell ref="BG621:BH621"/>
    <mergeCell ref="CC640:CG640"/>
    <mergeCell ref="BN640:BR640"/>
    <mergeCell ref="BE634:BF634"/>
    <mergeCell ref="BS629:BW629"/>
    <mergeCell ref="BS634:BW634"/>
    <mergeCell ref="BS633:BW633"/>
    <mergeCell ref="BG633:BH633"/>
    <mergeCell ref="BI633:BJ633"/>
    <mergeCell ref="BK633:BL633"/>
    <mergeCell ref="BN629:BR629"/>
    <mergeCell ref="BS623:BW623"/>
    <mergeCell ref="BX619:CB619"/>
    <mergeCell ref="BN634:BR634"/>
    <mergeCell ref="BE629:BF629"/>
    <mergeCell ref="BE631:BF631"/>
    <mergeCell ref="BE632:BF632"/>
    <mergeCell ref="BI629:BJ629"/>
    <mergeCell ref="BK629:BL629"/>
    <mergeCell ref="BK618:BL618"/>
    <mergeCell ref="BK621:BL621"/>
    <mergeCell ref="BS617:BW617"/>
    <mergeCell ref="BK619:BL619"/>
    <mergeCell ref="BK617:BL617"/>
    <mergeCell ref="AO644:AS644"/>
    <mergeCell ref="BX640:CB640"/>
    <mergeCell ref="BX635:CB635"/>
    <mergeCell ref="AO642:AS642"/>
    <mergeCell ref="AO634:AS636"/>
    <mergeCell ref="A627:AS628"/>
    <mergeCell ref="AF634:AJ636"/>
    <mergeCell ref="AF637:AJ637"/>
    <mergeCell ref="AF639:AJ639"/>
    <mergeCell ref="R642:T642"/>
    <mergeCell ref="BI621:BJ621"/>
    <mergeCell ref="BS627:BW627"/>
    <mergeCell ref="BX627:CB627"/>
    <mergeCell ref="BG622:BH622"/>
    <mergeCell ref="BK624:BL624"/>
    <mergeCell ref="BS625:BW625"/>
    <mergeCell ref="BG635:BH635"/>
    <mergeCell ref="BK635:BL635"/>
    <mergeCell ref="BN635:BR635"/>
    <mergeCell ref="BS635:BW635"/>
    <mergeCell ref="BS618:BW618"/>
    <mergeCell ref="BX618:CB618"/>
    <mergeCell ref="X634:AB636"/>
    <mergeCell ref="BK634:BL634"/>
    <mergeCell ref="BX621:CB621"/>
    <mergeCell ref="AK639:AN639"/>
    <mergeCell ref="AK640:AN640"/>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S626:BW626"/>
    <mergeCell ref="BN622:BR622"/>
    <mergeCell ref="BN623:BR623"/>
    <mergeCell ref="BK622:BL622"/>
    <mergeCell ref="BK623:BL623"/>
    <mergeCell ref="BS624:BW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17:CL617"/>
    <mergeCell ref="CH615:CL615"/>
    <mergeCell ref="CH622:CL622"/>
    <mergeCell ref="CH624:CL624"/>
    <mergeCell ref="CH611:CL611"/>
    <mergeCell ref="CH613:CL613"/>
    <mergeCell ref="CH618:CL618"/>
    <mergeCell ref="CH614:CL614"/>
    <mergeCell ref="CH612:CL612"/>
    <mergeCell ref="CH609:CL609"/>
    <mergeCell ref="CH610:CL610"/>
    <mergeCell ref="CH619:CL619"/>
    <mergeCell ref="CC621:CG621"/>
    <mergeCell ref="CH621:CL621"/>
    <mergeCell ref="CH623:CL623"/>
    <mergeCell ref="BI619:BJ619"/>
    <mergeCell ref="BS619:BW619"/>
    <mergeCell ref="CC619:CG619"/>
    <mergeCell ref="BX613:CB613"/>
    <mergeCell ref="CC620:CG620"/>
    <mergeCell ref="BS610:BW610"/>
    <mergeCell ref="BX617:CB617"/>
    <mergeCell ref="CC617:CG617"/>
    <mergeCell ref="BX610:CB610"/>
    <mergeCell ref="BS609:BW609"/>
    <mergeCell ref="BN610:BR610"/>
    <mergeCell ref="BK609:BL609"/>
    <mergeCell ref="CH616:CL616"/>
    <mergeCell ref="BI618:BJ618"/>
    <mergeCell ref="BI617:BJ617"/>
    <mergeCell ref="BX616:CB616"/>
    <mergeCell ref="BS616:BW616"/>
    <mergeCell ref="BK616:BL616"/>
    <mergeCell ref="BN616:BR616"/>
    <mergeCell ref="CC609:CG609"/>
    <mergeCell ref="CC610:CG610"/>
    <mergeCell ref="BX611:CB611"/>
    <mergeCell ref="BS621:BW621"/>
    <mergeCell ref="BN621:BR621"/>
    <mergeCell ref="BX620:CB620"/>
    <mergeCell ref="BI615:BJ615"/>
    <mergeCell ref="CC615:CG615"/>
    <mergeCell ref="BS614:BW614"/>
    <mergeCell ref="BX614:CB614"/>
    <mergeCell ref="BX609:CB609"/>
    <mergeCell ref="CC613:CG613"/>
    <mergeCell ref="BN614:BR614"/>
    <mergeCell ref="CC616:CG616"/>
    <mergeCell ref="BG612:BH612"/>
    <mergeCell ref="BG614:BH614"/>
    <mergeCell ref="BK611:BL611"/>
    <mergeCell ref="BI611:BJ611"/>
    <mergeCell ref="BG615:BH615"/>
    <mergeCell ref="BG617:BH617"/>
    <mergeCell ref="BS615:BW615"/>
    <mergeCell ref="BX615:CB615"/>
    <mergeCell ref="BE615:BF615"/>
    <mergeCell ref="BK612:BL612"/>
    <mergeCell ref="BN612:BR612"/>
    <mergeCell ref="BS611:BW611"/>
    <mergeCell ref="BS612:BW612"/>
    <mergeCell ref="BK615:BL615"/>
    <mergeCell ref="CC611:CG611"/>
    <mergeCell ref="BS613:BW613"/>
    <mergeCell ref="BG609:BH609"/>
    <mergeCell ref="BG610:BH610"/>
    <mergeCell ref="BI610:BJ610"/>
    <mergeCell ref="BG613:BH613"/>
    <mergeCell ref="BI613:BJ613"/>
    <mergeCell ref="BN611:BR611"/>
    <mergeCell ref="BX612:CB612"/>
    <mergeCell ref="CC612:CG612"/>
    <mergeCell ref="BI614:BJ614"/>
    <mergeCell ref="BI612:BJ612"/>
    <mergeCell ref="P423:Q423"/>
    <mergeCell ref="Q504:AK504"/>
    <mergeCell ref="AD493:AH493"/>
    <mergeCell ref="Y493:AC493"/>
    <mergeCell ref="AC513:AF513"/>
    <mergeCell ref="Q570:S570"/>
    <mergeCell ref="AC548:AF548"/>
    <mergeCell ref="AH544:AK544"/>
    <mergeCell ref="Y484:AC485"/>
    <mergeCell ref="Q573:S573"/>
    <mergeCell ref="Q574:S574"/>
    <mergeCell ref="Q575:S575"/>
    <mergeCell ref="AG448:AJ448"/>
    <mergeCell ref="D464:V464"/>
    <mergeCell ref="W467:Y467"/>
    <mergeCell ref="BG611:BH611"/>
    <mergeCell ref="BN618:BR618"/>
    <mergeCell ref="BN615:BR615"/>
    <mergeCell ref="AE572:AH572"/>
    <mergeCell ref="AI572:AL572"/>
    <mergeCell ref="Z568:AD568"/>
    <mergeCell ref="Z569:AD569"/>
    <mergeCell ref="Z570:AD570"/>
    <mergeCell ref="AM566:AS566"/>
    <mergeCell ref="B576:AL576"/>
    <mergeCell ref="AM564:AS564"/>
    <mergeCell ref="AD494:AH494"/>
    <mergeCell ref="AM572:AS572"/>
    <mergeCell ref="Z613:AK613"/>
    <mergeCell ref="T570:V570"/>
    <mergeCell ref="W567:Y567"/>
    <mergeCell ref="W568:Y568"/>
    <mergeCell ref="Z578:AK578"/>
    <mergeCell ref="P582:R582"/>
    <mergeCell ref="AD487:AH487"/>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617:O617"/>
    <mergeCell ref="G619:R619"/>
    <mergeCell ref="G596:R596"/>
    <mergeCell ref="G587:R587"/>
    <mergeCell ref="G598:R598"/>
    <mergeCell ref="N601:O601"/>
    <mergeCell ref="AA583:AK583"/>
    <mergeCell ref="Z604:AK604"/>
    <mergeCell ref="Q567:S567"/>
    <mergeCell ref="H413:AE414"/>
    <mergeCell ref="M354:N354"/>
    <mergeCell ref="AG389:AJ389"/>
    <mergeCell ref="J384:U384"/>
    <mergeCell ref="V380:W380"/>
    <mergeCell ref="AC346:AE346"/>
    <mergeCell ref="Q390:U390"/>
    <mergeCell ref="AD376:AE376"/>
    <mergeCell ref="AG390:AJ390"/>
    <mergeCell ref="S401:U401"/>
    <mergeCell ref="AG400:AJ400"/>
    <mergeCell ref="AI391:AJ391"/>
    <mergeCell ref="AC385:AJ385"/>
    <mergeCell ref="P343:AE343"/>
    <mergeCell ref="H329:R329"/>
    <mergeCell ref="J366:K366"/>
    <mergeCell ref="H340:R340"/>
    <mergeCell ref="AG379:AH379"/>
    <mergeCell ref="N377:P377"/>
    <mergeCell ref="AI396:AJ396"/>
    <mergeCell ref="AC369:AF369"/>
    <mergeCell ref="P347:Z347"/>
    <mergeCell ref="N372:AF373"/>
    <mergeCell ref="AG393:AJ393"/>
    <mergeCell ref="AJ354:AK354"/>
    <mergeCell ref="A350:AL351"/>
    <mergeCell ref="AC384:AJ384"/>
    <mergeCell ref="AG376:AH376"/>
    <mergeCell ref="T397:AJ397"/>
    <mergeCell ref="Q392:U392"/>
    <mergeCell ref="S404:AJ404"/>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W260:X260"/>
    <mergeCell ref="U262:W262"/>
    <mergeCell ref="Z254:AE254"/>
    <mergeCell ref="U254:W254"/>
    <mergeCell ref="O33:P33"/>
    <mergeCell ref="AH245:AK245"/>
    <mergeCell ref="M262:R262"/>
    <mergeCell ref="C124:K124"/>
    <mergeCell ref="O156:AH156"/>
    <mergeCell ref="O157:X157"/>
    <mergeCell ref="O158:R158"/>
    <mergeCell ref="W159:X159"/>
    <mergeCell ref="P204:U204"/>
    <mergeCell ref="D164:AH164"/>
    <mergeCell ref="AH253:AK253"/>
    <mergeCell ref="A281:AL282"/>
    <mergeCell ref="H292:R292"/>
    <mergeCell ref="D204:M204"/>
    <mergeCell ref="R177:S177"/>
    <mergeCell ref="U235:W235"/>
    <mergeCell ref="I185:AE185"/>
    <mergeCell ref="M235:R235"/>
    <mergeCell ref="Z235:AE235"/>
    <mergeCell ref="A221:AL222"/>
    <mergeCell ref="M237:T237"/>
    <mergeCell ref="Z203:AF205"/>
    <mergeCell ref="M254:R254"/>
    <mergeCell ref="AA256:AK256"/>
    <mergeCell ref="M259:AE259"/>
    <mergeCell ref="M261:AE261"/>
    <mergeCell ref="H320:R320"/>
    <mergeCell ref="H321:R321"/>
    <mergeCell ref="AA330:AF330"/>
    <mergeCell ref="AI330:AK330"/>
    <mergeCell ref="H302:R302"/>
    <mergeCell ref="AA335:AK335"/>
    <mergeCell ref="AA328:AK328"/>
    <mergeCell ref="P330:R330"/>
    <mergeCell ref="H332:R332"/>
    <mergeCell ref="P314:R314"/>
    <mergeCell ref="H327:R327"/>
    <mergeCell ref="AA319:AK319"/>
    <mergeCell ref="AA295:AK295"/>
    <mergeCell ref="AA290:AF290"/>
    <mergeCell ref="M264:T264"/>
    <mergeCell ref="H294:R294"/>
    <mergeCell ref="H295:R295"/>
    <mergeCell ref="V275:W275"/>
    <mergeCell ref="H288:R288"/>
    <mergeCell ref="AA288:AK288"/>
    <mergeCell ref="AA292:AK292"/>
    <mergeCell ref="L276:AD276"/>
    <mergeCell ref="AA315:AF315"/>
    <mergeCell ref="Z262:AE262"/>
    <mergeCell ref="AC244:AE244"/>
    <mergeCell ref="AF242:AK242"/>
    <mergeCell ref="AH196:AI196"/>
    <mergeCell ref="AI228:AJ228"/>
    <mergeCell ref="AA307:AF307"/>
    <mergeCell ref="H316:R316"/>
    <mergeCell ref="AH261:AK261"/>
    <mergeCell ref="P290:R290"/>
    <mergeCell ref="AA296:AK296"/>
    <mergeCell ref="L273:AJ273"/>
    <mergeCell ref="L277:Q277"/>
    <mergeCell ref="AA326:AK326"/>
    <mergeCell ref="AA321:AK321"/>
    <mergeCell ref="H335:R335"/>
    <mergeCell ref="H312:R312"/>
    <mergeCell ref="AA314:AF314"/>
    <mergeCell ref="AA304:AK304"/>
    <mergeCell ref="AA305:AK305"/>
    <mergeCell ref="AA302:AK302"/>
    <mergeCell ref="H330:M330"/>
    <mergeCell ref="H310:R310"/>
    <mergeCell ref="H307:M307"/>
    <mergeCell ref="P306:R306"/>
    <mergeCell ref="M232:AE232"/>
    <mergeCell ref="M258:AE258"/>
    <mergeCell ref="L275:S275"/>
    <mergeCell ref="H326:R326"/>
    <mergeCell ref="AA329:AK329"/>
    <mergeCell ref="AA332:AK332"/>
    <mergeCell ref="AA311:AK311"/>
    <mergeCell ref="L278:AD278"/>
    <mergeCell ref="M260:T260"/>
    <mergeCell ref="T277:V277"/>
    <mergeCell ref="X176:Y176"/>
    <mergeCell ref="X180:Y180"/>
    <mergeCell ref="AA286:AK286"/>
    <mergeCell ref="T266:X266"/>
    <mergeCell ref="M242:AE242"/>
    <mergeCell ref="AI178:AK178"/>
    <mergeCell ref="I189:P189"/>
    <mergeCell ref="Y198:Z198"/>
    <mergeCell ref="M231:AK231"/>
    <mergeCell ref="H303:R303"/>
    <mergeCell ref="AA324:AK324"/>
    <mergeCell ref="AI306:AK306"/>
    <mergeCell ref="H311:R311"/>
    <mergeCell ref="H304:R304"/>
    <mergeCell ref="H305:R305"/>
    <mergeCell ref="AI314:AK314"/>
    <mergeCell ref="H319:R319"/>
    <mergeCell ref="H315:M315"/>
    <mergeCell ref="AI322:AK322"/>
    <mergeCell ref="AA320:AK320"/>
    <mergeCell ref="H324:R324"/>
    <mergeCell ref="N191:AE192"/>
    <mergeCell ref="D210:M210"/>
    <mergeCell ref="AI227:AJ227"/>
    <mergeCell ref="AI225:AJ225"/>
    <mergeCell ref="M234:AE234"/>
    <mergeCell ref="AA316:AK316"/>
    <mergeCell ref="H313:R313"/>
    <mergeCell ref="H314:M314"/>
    <mergeCell ref="A169:AL170"/>
    <mergeCell ref="H297:R297"/>
    <mergeCell ref="O159:T159"/>
    <mergeCell ref="M238:AE238"/>
    <mergeCell ref="AA237:AK237"/>
    <mergeCell ref="T190:AE190"/>
    <mergeCell ref="AA297:AK297"/>
    <mergeCell ref="AA313:AK313"/>
    <mergeCell ref="AA310:AK310"/>
    <mergeCell ref="J173:S173"/>
    <mergeCell ref="O160:T160"/>
    <mergeCell ref="O161:AH161"/>
    <mergeCell ref="AA300:AK300"/>
    <mergeCell ref="H306:M306"/>
    <mergeCell ref="H287:R287"/>
    <mergeCell ref="AA289:AK289"/>
    <mergeCell ref="AI298:AK298"/>
    <mergeCell ref="H296:R296"/>
    <mergeCell ref="AA298:AF298"/>
    <mergeCell ref="AA303:AK303"/>
    <mergeCell ref="AA306:AF306"/>
    <mergeCell ref="H286:R286"/>
    <mergeCell ref="P298:R298"/>
    <mergeCell ref="D269:H269"/>
    <mergeCell ref="X269:AC269"/>
    <mergeCell ref="AA287:AK287"/>
    <mergeCell ref="AA299:AF299"/>
    <mergeCell ref="AA312:AK312"/>
    <mergeCell ref="H308:R308"/>
    <mergeCell ref="AA308:AK308"/>
    <mergeCell ref="H291:M291"/>
    <mergeCell ref="H290:M290"/>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T195:U195"/>
    <mergeCell ref="D219:Z219"/>
    <mergeCell ref="AC233:AE233"/>
    <mergeCell ref="M244:T244"/>
    <mergeCell ref="D207:M207"/>
    <mergeCell ref="Z246:AE246"/>
    <mergeCell ref="T193:AI193"/>
    <mergeCell ref="U175:V175"/>
    <mergeCell ref="I184:AE184"/>
    <mergeCell ref="Y132:AK132"/>
    <mergeCell ref="T196:U196"/>
    <mergeCell ref="M247:AE247"/>
    <mergeCell ref="A13:AL14"/>
    <mergeCell ref="O155:AH155"/>
    <mergeCell ref="O153:AH153"/>
    <mergeCell ref="O154:AH154"/>
    <mergeCell ref="M236:AE236"/>
    <mergeCell ref="AI226:AJ226"/>
    <mergeCell ref="Y363:Z363"/>
    <mergeCell ref="P344:AE344"/>
    <mergeCell ref="H322:M322"/>
    <mergeCell ref="AA336:AK336"/>
    <mergeCell ref="J385:U385"/>
    <mergeCell ref="Q364:AG364"/>
    <mergeCell ref="AG378:AH378"/>
    <mergeCell ref="AJ356:AK356"/>
    <mergeCell ref="M27:Q27"/>
    <mergeCell ref="J174:Z174"/>
    <mergeCell ref="M233:T233"/>
    <mergeCell ref="W233:X233"/>
    <mergeCell ref="M263:AE263"/>
    <mergeCell ref="AA264:AK264"/>
    <mergeCell ref="M245:AE245"/>
    <mergeCell ref="W244:X244"/>
    <mergeCell ref="U246:W246"/>
    <mergeCell ref="H298:M298"/>
    <mergeCell ref="H299:M299"/>
    <mergeCell ref="H300:R300"/>
    <mergeCell ref="AI290:AK290"/>
    <mergeCell ref="N370:Q370"/>
    <mergeCell ref="N369:Q369"/>
    <mergeCell ref="M357:N357"/>
    <mergeCell ref="AA340:AK340"/>
    <mergeCell ref="H323:M323"/>
    <mergeCell ref="H318:R318"/>
    <mergeCell ref="P417:R417"/>
    <mergeCell ref="AA334:AK334"/>
    <mergeCell ref="P342:AE342"/>
    <mergeCell ref="AC532:AF532"/>
    <mergeCell ref="AC554:AF554"/>
    <mergeCell ref="AC530:AF530"/>
    <mergeCell ref="AH536:AK536"/>
    <mergeCell ref="V376:W376"/>
    <mergeCell ref="Q393:U393"/>
    <mergeCell ref="H339:M339"/>
    <mergeCell ref="W468:Y468"/>
    <mergeCell ref="H338:M338"/>
    <mergeCell ref="H337:R337"/>
    <mergeCell ref="H334:R334"/>
    <mergeCell ref="P338:R338"/>
    <mergeCell ref="N362:O362"/>
    <mergeCell ref="S391:U391"/>
    <mergeCell ref="M356:N356"/>
    <mergeCell ref="R410:S410"/>
    <mergeCell ref="Q388:U388"/>
    <mergeCell ref="P346:Z346"/>
    <mergeCell ref="AH513:AK513"/>
    <mergeCell ref="B526:H528"/>
    <mergeCell ref="B515:H520"/>
    <mergeCell ref="AH517:AK517"/>
    <mergeCell ref="N371:Q371"/>
    <mergeCell ref="AA337:AK337"/>
    <mergeCell ref="S376:T376"/>
    <mergeCell ref="J386:U386"/>
    <mergeCell ref="AA339:AF339"/>
    <mergeCell ref="P348:AE348"/>
    <mergeCell ref="I391:N391"/>
    <mergeCell ref="B742:F742"/>
    <mergeCell ref="AH724:AL727"/>
    <mergeCell ref="Y489:AC489"/>
    <mergeCell ref="T484:X485"/>
    <mergeCell ref="Y487:AC487"/>
    <mergeCell ref="Y486:AC486"/>
    <mergeCell ref="T487:X487"/>
    <mergeCell ref="AH514:AK514"/>
    <mergeCell ref="AC515:AF515"/>
    <mergeCell ref="AH531:AK531"/>
    <mergeCell ref="AC511:AK511"/>
    <mergeCell ref="AH537:AK537"/>
    <mergeCell ref="AH541:AK541"/>
    <mergeCell ref="AC541:AF541"/>
    <mergeCell ref="AH539:AK539"/>
    <mergeCell ref="O544:AA544"/>
    <mergeCell ref="AC549:AF549"/>
    <mergeCell ref="W563:Y563"/>
    <mergeCell ref="W564:Y564"/>
    <mergeCell ref="AH551:AK551"/>
    <mergeCell ref="AE569:AH569"/>
    <mergeCell ref="AI569:AL569"/>
    <mergeCell ref="C568:P568"/>
    <mergeCell ref="T730:X730"/>
    <mergeCell ref="K736:N736"/>
    <mergeCell ref="Z623:AE623"/>
    <mergeCell ref="Z611:AK611"/>
    <mergeCell ref="N609:O609"/>
    <mergeCell ref="G613:R613"/>
    <mergeCell ref="AA624:AK624"/>
    <mergeCell ref="Z612:AK612"/>
    <mergeCell ref="G615:L615"/>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X792:AB792"/>
    <mergeCell ref="AC768:AG771"/>
    <mergeCell ref="X793:AB793"/>
    <mergeCell ref="T795:W795"/>
    <mergeCell ref="X773:AB773"/>
    <mergeCell ref="U826:X826"/>
    <mergeCell ref="Y826:AB826"/>
    <mergeCell ref="Q827:T827"/>
    <mergeCell ref="C827:H827"/>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AG828:AJ828"/>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Q826:T826"/>
    <mergeCell ref="AH787:AL787"/>
    <mergeCell ref="AH788:AL788"/>
    <mergeCell ref="AH789:AL789"/>
    <mergeCell ref="C830:L830"/>
    <mergeCell ref="Q830:T830"/>
    <mergeCell ref="M830:P830"/>
    <mergeCell ref="W855:AC855"/>
    <mergeCell ref="J847:V847"/>
    <mergeCell ref="AC891:AH891"/>
    <mergeCell ref="W853:AC853"/>
    <mergeCell ref="M844:V844"/>
    <mergeCell ref="AG829:AJ829"/>
    <mergeCell ref="Y829:AB829"/>
    <mergeCell ref="U829:X829"/>
    <mergeCell ref="W841:AC841"/>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U921:Z921"/>
    <mergeCell ref="AA920:AF920"/>
    <mergeCell ref="AB914:AE914"/>
    <mergeCell ref="W861:AC861"/>
    <mergeCell ref="AA929:AF929"/>
    <mergeCell ref="F913:T914"/>
    <mergeCell ref="U917:Z917"/>
    <mergeCell ref="U927:Z927"/>
    <mergeCell ref="U923:Z923"/>
    <mergeCell ref="AA916:AF916"/>
    <mergeCell ref="BD906:BE906"/>
    <mergeCell ref="BD902:BE902"/>
    <mergeCell ref="M875:V875"/>
    <mergeCell ref="W876:AC876"/>
    <mergeCell ref="J941:S941"/>
    <mergeCell ref="Z897:AE897"/>
    <mergeCell ref="W867:AC867"/>
    <mergeCell ref="AC886:AH886"/>
    <mergeCell ref="U915:Z915"/>
    <mergeCell ref="W868:AC868"/>
    <mergeCell ref="M873:V873"/>
    <mergeCell ref="W875:AC875"/>
    <mergeCell ref="M876:V876"/>
    <mergeCell ref="U920:Z920"/>
    <mergeCell ref="AC881:AH881"/>
    <mergeCell ref="AA953:AG953"/>
    <mergeCell ref="T956:Z956"/>
    <mergeCell ref="AA928:AF928"/>
    <mergeCell ref="AA917:AF917"/>
    <mergeCell ref="U919:Z919"/>
    <mergeCell ref="AA921:AF921"/>
    <mergeCell ref="A907:AL908"/>
    <mergeCell ref="AA956:AG956"/>
    <mergeCell ref="AC885:AH885"/>
    <mergeCell ref="M945:S945"/>
    <mergeCell ref="I934:T934"/>
    <mergeCell ref="AC890:AH890"/>
    <mergeCell ref="M942:S942"/>
    <mergeCell ref="AA924:AF924"/>
    <mergeCell ref="AE943:AK943"/>
    <mergeCell ref="W958:AG958"/>
    <mergeCell ref="AA955:AG955"/>
    <mergeCell ref="AE946:AK946"/>
    <mergeCell ref="AA922:AF922"/>
    <mergeCell ref="AE942:AK942"/>
    <mergeCell ref="AA952:AG952"/>
    <mergeCell ref="AE939:AK939"/>
    <mergeCell ref="AA951:AG951"/>
    <mergeCell ref="AA957:AG957"/>
    <mergeCell ref="AA933:AF933"/>
    <mergeCell ref="T957:Z957"/>
    <mergeCell ref="I931:T931"/>
    <mergeCell ref="U922:Z922"/>
    <mergeCell ref="M954:S954"/>
    <mergeCell ref="F912:T912"/>
    <mergeCell ref="I932:T932"/>
    <mergeCell ref="B729:F729"/>
    <mergeCell ref="B730:F730"/>
    <mergeCell ref="B731:F731"/>
    <mergeCell ref="G731:J731"/>
    <mergeCell ref="R643:T643"/>
    <mergeCell ref="R644:T644"/>
    <mergeCell ref="G654:R654"/>
    <mergeCell ref="Z655:AK655"/>
    <mergeCell ref="Z653:AK653"/>
    <mergeCell ref="AK647:AN647"/>
    <mergeCell ref="Z688:AK68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G694:R694"/>
    <mergeCell ref="H666:R666"/>
    <mergeCell ref="Y728:AB728"/>
    <mergeCell ref="AH728:AL728"/>
    <mergeCell ref="G653:R653"/>
    <mergeCell ref="Z678:AK678"/>
    <mergeCell ref="B649:AN649"/>
    <mergeCell ref="B650:AN650"/>
    <mergeCell ref="B651:AN651"/>
    <mergeCell ref="AC640:AE640"/>
    <mergeCell ref="AC641:AE641"/>
    <mergeCell ref="AC642:AE642"/>
    <mergeCell ref="AC643:AE643"/>
    <mergeCell ref="AC644:AE644"/>
    <mergeCell ref="AC645:AE645"/>
    <mergeCell ref="Z656:AK656"/>
    <mergeCell ref="G656:R656"/>
    <mergeCell ref="AC647:AE647"/>
    <mergeCell ref="AC648:AE648"/>
    <mergeCell ref="U646:W646"/>
    <mergeCell ref="U647:W647"/>
    <mergeCell ref="N659:O659"/>
    <mergeCell ref="G686:R686"/>
    <mergeCell ref="Z664:AK664"/>
    <mergeCell ref="AK646:AN646"/>
    <mergeCell ref="G681:L681"/>
    <mergeCell ref="G678:R678"/>
    <mergeCell ref="P681:R681"/>
    <mergeCell ref="G663:R663"/>
    <mergeCell ref="AF648:AJ648"/>
    <mergeCell ref="U643:W643"/>
    <mergeCell ref="U644:W644"/>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T793:W793"/>
    <mergeCell ref="R969:AA969"/>
    <mergeCell ref="M943:S943"/>
    <mergeCell ref="M955:S955"/>
    <mergeCell ref="W864:AC864"/>
    <mergeCell ref="M940:S940"/>
    <mergeCell ref="AA919:AF919"/>
    <mergeCell ref="AC892:AH892"/>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24:AB727"/>
    <mergeCell ref="AC733:AG733"/>
    <mergeCell ref="O728:S728"/>
    <mergeCell ref="T732:X732"/>
    <mergeCell ref="T733:X733"/>
    <mergeCell ref="T734:X734"/>
    <mergeCell ref="T735:X735"/>
    <mergeCell ref="T736:X736"/>
    <mergeCell ref="AI697:AK697"/>
    <mergeCell ref="O729:S729"/>
    <mergeCell ref="H698:R698"/>
    <mergeCell ref="O724:S727"/>
    <mergeCell ref="B735:F735"/>
    <mergeCell ref="B734:F734"/>
    <mergeCell ref="AC734:AG734"/>
    <mergeCell ref="G734:J73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O730:S730"/>
    <mergeCell ref="O731:S731"/>
    <mergeCell ref="O732:S732"/>
    <mergeCell ref="Y738:AB738"/>
    <mergeCell ref="AM738:AO738"/>
    <mergeCell ref="AH730:AL730"/>
    <mergeCell ref="AH731:AL731"/>
    <mergeCell ref="AM733:AO733"/>
    <mergeCell ref="AM729:AO729"/>
    <mergeCell ref="J776:N776"/>
    <mergeCell ref="AC730:AG730"/>
    <mergeCell ref="AC731:AG731"/>
    <mergeCell ref="T724:X727"/>
    <mergeCell ref="AC724:AG727"/>
    <mergeCell ref="C570:P570"/>
    <mergeCell ref="AE568:AH568"/>
    <mergeCell ref="Q569:S569"/>
    <mergeCell ref="N675:O675"/>
    <mergeCell ref="G670:R670"/>
    <mergeCell ref="Z654:AK654"/>
    <mergeCell ref="AC634:AE636"/>
    <mergeCell ref="U642:W642"/>
    <mergeCell ref="AC638:AE638"/>
    <mergeCell ref="U640:W640"/>
    <mergeCell ref="U634:W636"/>
    <mergeCell ref="U637:W637"/>
    <mergeCell ref="U638:W638"/>
    <mergeCell ref="U639:W639"/>
    <mergeCell ref="C648:N648"/>
    <mergeCell ref="O637:Q637"/>
    <mergeCell ref="AK634:AN636"/>
    <mergeCell ref="AK637:AN637"/>
    <mergeCell ref="X647:AB647"/>
    <mergeCell ref="X646:AB646"/>
    <mergeCell ref="AM569:AS569"/>
    <mergeCell ref="AA608:AK608"/>
    <mergeCell ref="AA592:AK592"/>
    <mergeCell ref="G612:R612"/>
    <mergeCell ref="G621:R621"/>
    <mergeCell ref="AI623:AK623"/>
    <mergeCell ref="G607:L607"/>
    <mergeCell ref="H600:R600"/>
    <mergeCell ref="N585:O585"/>
    <mergeCell ref="G579:R579"/>
    <mergeCell ref="G599:L599"/>
    <mergeCell ref="AI582:AK582"/>
    <mergeCell ref="X648:AB648"/>
    <mergeCell ref="G657:L657"/>
    <mergeCell ref="P657:R657"/>
    <mergeCell ref="AI657:AK657"/>
    <mergeCell ref="G661:R661"/>
    <mergeCell ref="AF644:AJ644"/>
    <mergeCell ref="AF645:AJ645"/>
    <mergeCell ref="AA682:AK682"/>
    <mergeCell ref="AA674:AK674"/>
    <mergeCell ref="AF647:AJ647"/>
    <mergeCell ref="Z657:AE657"/>
    <mergeCell ref="Z662:AK662"/>
    <mergeCell ref="AA658:AK658"/>
    <mergeCell ref="AK638:AN638"/>
    <mergeCell ref="BS641:BW641"/>
    <mergeCell ref="AF640:AJ640"/>
    <mergeCell ref="AF641:AJ641"/>
    <mergeCell ref="AF642:AJ642"/>
    <mergeCell ref="AF643:AJ643"/>
    <mergeCell ref="AO647:AS647"/>
    <mergeCell ref="AO649:AS649"/>
    <mergeCell ref="AO650:AS650"/>
    <mergeCell ref="BS654:BW654"/>
    <mergeCell ref="G672:R672"/>
    <mergeCell ref="P665:R665"/>
    <mergeCell ref="Z677:AK677"/>
    <mergeCell ref="Z672:AK672"/>
    <mergeCell ref="AF638:AJ638"/>
    <mergeCell ref="AO645:AS645"/>
    <mergeCell ref="AO643:AS643"/>
    <mergeCell ref="AA318:AK318"/>
    <mergeCell ref="AC370:AF370"/>
    <mergeCell ref="AJ355:AK355"/>
    <mergeCell ref="H336:R336"/>
    <mergeCell ref="AO646:AS646"/>
    <mergeCell ref="AG625:AH625"/>
    <mergeCell ref="N625:O625"/>
    <mergeCell ref="AK641:AN641"/>
    <mergeCell ref="AA322:AF322"/>
    <mergeCell ref="P322:R322"/>
    <mergeCell ref="V381:W381"/>
    <mergeCell ref="AF417:AH417"/>
    <mergeCell ref="Z615:AE615"/>
    <mergeCell ref="Z619:AK619"/>
    <mergeCell ref="U641:W641"/>
    <mergeCell ref="AI388:AJ388"/>
    <mergeCell ref="E367:AH368"/>
    <mergeCell ref="AA323:AF323"/>
    <mergeCell ref="H328:R328"/>
    <mergeCell ref="H331:M331"/>
    <mergeCell ref="AO637:AS637"/>
    <mergeCell ref="AO640:AS640"/>
    <mergeCell ref="AC637:AE637"/>
    <mergeCell ref="U645:W645"/>
    <mergeCell ref="X637:AB637"/>
    <mergeCell ref="P345:AE345"/>
    <mergeCell ref="AA338:AF338"/>
    <mergeCell ref="AC386:AJ386"/>
    <mergeCell ref="V387:AJ387"/>
    <mergeCell ref="J387:U387"/>
    <mergeCell ref="AG394:AJ394"/>
    <mergeCell ref="C569:P569"/>
    <mergeCell ref="DC610:DG610"/>
    <mergeCell ref="DH610:DL610"/>
    <mergeCell ref="DC615:DG615"/>
    <mergeCell ref="DR622:DV622"/>
    <mergeCell ref="CS621:CW621"/>
    <mergeCell ref="CX621:DB621"/>
    <mergeCell ref="CS622:CW622"/>
    <mergeCell ref="CX622:DB622"/>
    <mergeCell ref="DC622:DG622"/>
    <mergeCell ref="DH622:DL622"/>
    <mergeCell ref="DR611:DV611"/>
    <mergeCell ref="DM612:DQ612"/>
    <mergeCell ref="DR612:DV612"/>
    <mergeCell ref="CS618:CW618"/>
    <mergeCell ref="CX618:DB618"/>
    <mergeCell ref="DC618:DG618"/>
    <mergeCell ref="DH618:DL618"/>
    <mergeCell ref="CX611:DB611"/>
    <mergeCell ref="DC611:DG611"/>
    <mergeCell ref="DH619:DL619"/>
    <mergeCell ref="DM621:DQ621"/>
    <mergeCell ref="DR621:DV621"/>
    <mergeCell ref="CS620:CW620"/>
    <mergeCell ref="CX620:DB620"/>
    <mergeCell ref="DC620:DG620"/>
    <mergeCell ref="DH620:DL620"/>
    <mergeCell ref="DM619:DQ619"/>
    <mergeCell ref="DM622:DQ622"/>
    <mergeCell ref="DM615:DQ615"/>
    <mergeCell ref="DR615:DV615"/>
    <mergeCell ref="DC617:DG617"/>
    <mergeCell ref="DH617:DL617"/>
    <mergeCell ref="CX613:DB613"/>
    <mergeCell ref="CS614:CW614"/>
    <mergeCell ref="CX614:DB614"/>
    <mergeCell ref="DC621:DG621"/>
    <mergeCell ref="DR617:DV617"/>
    <mergeCell ref="CS616:CW616"/>
    <mergeCell ref="CX616:DB616"/>
    <mergeCell ref="DC616:DG616"/>
    <mergeCell ref="DH616:DL616"/>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10:DQ610"/>
    <mergeCell ref="DR610:DV610"/>
    <mergeCell ref="CS611:CW611"/>
    <mergeCell ref="DM614:DQ614"/>
    <mergeCell ref="DR614:DV614"/>
    <mergeCell ref="CS613:CW613"/>
    <mergeCell ref="DC614:DG614"/>
    <mergeCell ref="DH614:DL614"/>
    <mergeCell ref="DC613:DG613"/>
    <mergeCell ref="DH613:DL613"/>
    <mergeCell ref="CS615:CW615"/>
    <mergeCell ref="CX615:DB615"/>
    <mergeCell ref="CS610:CW610"/>
    <mergeCell ref="CX610:DB610"/>
    <mergeCell ref="DH615:DL615"/>
    <mergeCell ref="DM617:DQ617"/>
    <mergeCell ref="Q389:U389"/>
    <mergeCell ref="BN609:BR609"/>
    <mergeCell ref="DM613:DQ613"/>
    <mergeCell ref="DR613:DV613"/>
    <mergeCell ref="CS612:CW612"/>
    <mergeCell ref="CX612:DB612"/>
    <mergeCell ref="DC612:DG612"/>
    <mergeCell ref="DH612:DL612"/>
    <mergeCell ref="DM611:DQ611"/>
    <mergeCell ref="CS609:CW609"/>
    <mergeCell ref="CX609:DB609"/>
    <mergeCell ref="DH611:DL611"/>
    <mergeCell ref="DC609:DG609"/>
    <mergeCell ref="DH609:DL609"/>
    <mergeCell ref="DM609:DQ609"/>
    <mergeCell ref="DR609:DV609"/>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DM630:DQ630"/>
    <mergeCell ref="CS634:CW634"/>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T729:X729"/>
    <mergeCell ref="J714:X714"/>
    <mergeCell ref="Z694:AK694"/>
    <mergeCell ref="Z697:AE697"/>
    <mergeCell ref="G732:J732"/>
    <mergeCell ref="Y732:AB732"/>
    <mergeCell ref="R715:T715"/>
    <mergeCell ref="CX634:DB6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DR634:DV634"/>
    <mergeCell ref="DC648:DG648"/>
    <mergeCell ref="DH648:DL648"/>
    <mergeCell ref="DM648:DQ648"/>
    <mergeCell ref="DR648:DV648"/>
    <mergeCell ref="CS649:CW649"/>
    <mergeCell ref="CX649:DB649"/>
    <mergeCell ref="DC649:DG649"/>
    <mergeCell ref="DH649:DL649"/>
    <mergeCell ref="DM649:DQ649"/>
    <mergeCell ref="CH649:CL649"/>
    <mergeCell ref="AG683:AH683"/>
    <mergeCell ref="AG675:AH675"/>
    <mergeCell ref="BX652:CB652"/>
    <mergeCell ref="CC652:CG652"/>
    <mergeCell ref="CH652:CL652"/>
    <mergeCell ref="BS653:BW653"/>
    <mergeCell ref="BX653:CB653"/>
    <mergeCell ref="CC653:CG653"/>
    <mergeCell ref="BX654:CB654"/>
    <mergeCell ref="BN655:BR655"/>
    <mergeCell ref="BS655:BW655"/>
    <mergeCell ref="BX655:CB655"/>
    <mergeCell ref="CC655:CG655"/>
    <mergeCell ref="CH655:CL655"/>
    <mergeCell ref="H682:R682"/>
    <mergeCell ref="G673:L673"/>
    <mergeCell ref="G655:R655"/>
    <mergeCell ref="AC729:AG729"/>
    <mergeCell ref="AE708:AI708"/>
    <mergeCell ref="Z663:AK663"/>
    <mergeCell ref="AI665:AK665"/>
    <mergeCell ref="Z898:AE898"/>
    <mergeCell ref="AC751:AG751"/>
    <mergeCell ref="Y799:AC799"/>
    <mergeCell ref="AF646:AJ646"/>
    <mergeCell ref="P673:R673"/>
    <mergeCell ref="G669:R669"/>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K648:AN648"/>
    <mergeCell ref="AC732:AG732"/>
    <mergeCell ref="G728:J728"/>
    <mergeCell ref="W713:AK713"/>
    <mergeCell ref="G688:R688"/>
    <mergeCell ref="W716:AK716"/>
    <mergeCell ref="AA698:AK698"/>
    <mergeCell ref="O738:S738"/>
    <mergeCell ref="Z687:AK687"/>
    <mergeCell ref="Y729:AB729"/>
    <mergeCell ref="BG851:BL851"/>
    <mergeCell ref="AI689:AK689"/>
    <mergeCell ref="AG667:AH667"/>
    <mergeCell ref="BN663:BR663"/>
    <mergeCell ref="BN654:BR654"/>
    <mergeCell ref="BN653:BR653"/>
    <mergeCell ref="BN652:BR652"/>
    <mergeCell ref="BN651:BR651"/>
    <mergeCell ref="AG659:AH659"/>
    <mergeCell ref="AM745:AO745"/>
    <mergeCell ref="G730:J730"/>
    <mergeCell ref="AI681:AK681"/>
    <mergeCell ref="G687:R687"/>
    <mergeCell ref="Y730:AB730"/>
    <mergeCell ref="Z679:AK679"/>
    <mergeCell ref="G677:R677"/>
    <mergeCell ref="H674:R674"/>
    <mergeCell ref="G664:R664"/>
    <mergeCell ref="AI673:AK673"/>
    <mergeCell ref="Z671:AK671"/>
    <mergeCell ref="G679:R679"/>
    <mergeCell ref="Z681:AE681"/>
    <mergeCell ref="AC826:AF826"/>
    <mergeCell ref="Y825:AB825"/>
    <mergeCell ref="T790:W790"/>
    <mergeCell ref="T791:W791"/>
    <mergeCell ref="T792:W792"/>
    <mergeCell ref="G685:R685"/>
    <mergeCell ref="H658:R658"/>
    <mergeCell ref="G744:J744"/>
    <mergeCell ref="Y742:AB742"/>
    <mergeCell ref="G695:R695"/>
    <mergeCell ref="D1082:AK1084"/>
    <mergeCell ref="G741:J741"/>
    <mergeCell ref="A1078:B1078"/>
    <mergeCell ref="G743:J743"/>
    <mergeCell ref="A1071:B1071"/>
    <mergeCell ref="J788:N788"/>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AH737:AL737"/>
    <mergeCell ref="AH738:AL738"/>
    <mergeCell ref="Y830:AB830"/>
    <mergeCell ref="Y741:AB741"/>
    <mergeCell ref="A1082:B1082"/>
    <mergeCell ref="B738:F738"/>
    <mergeCell ref="M959:S959"/>
    <mergeCell ref="M953:S953"/>
    <mergeCell ref="M952:S952"/>
    <mergeCell ref="Z815:AE815"/>
    <mergeCell ref="D1074:AK1077"/>
    <mergeCell ref="O792:S792"/>
    <mergeCell ref="B1039:AK1039"/>
    <mergeCell ref="G736:J736"/>
    <mergeCell ref="G737:J737"/>
    <mergeCell ref="D1078:AK1081"/>
    <mergeCell ref="AC736:AG736"/>
    <mergeCell ref="O782:S785"/>
    <mergeCell ref="G739:J739"/>
    <mergeCell ref="B739:F739"/>
    <mergeCell ref="T738:X738"/>
    <mergeCell ref="T737:X737"/>
    <mergeCell ref="J774:N774"/>
    <mergeCell ref="Q824:T824"/>
    <mergeCell ref="Y821:AB822"/>
    <mergeCell ref="B741:F741"/>
    <mergeCell ref="A1066:B1066"/>
    <mergeCell ref="A1040:AL1040"/>
    <mergeCell ref="A1063:B1063"/>
    <mergeCell ref="O793:S793"/>
    <mergeCell ref="J790:N790"/>
    <mergeCell ref="A1074:B1074"/>
    <mergeCell ref="AC752:AG752"/>
    <mergeCell ref="Z812:AE812"/>
    <mergeCell ref="O736:S736"/>
    <mergeCell ref="O737:S737"/>
    <mergeCell ref="AC775:AG775"/>
    <mergeCell ref="J768:N771"/>
    <mergeCell ref="Y749:AB749"/>
    <mergeCell ref="G752:J752"/>
    <mergeCell ref="D1071:AK1073"/>
    <mergeCell ref="U824:X824"/>
    <mergeCell ref="C826:H826"/>
    <mergeCell ref="M826:P826"/>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M734:AO734"/>
    <mergeCell ref="AM731:AO731"/>
    <mergeCell ref="AM740:AO740"/>
    <mergeCell ref="W869:AC869"/>
    <mergeCell ref="AC776:AG776"/>
    <mergeCell ref="X776:AB776"/>
    <mergeCell ref="X768:AB771"/>
    <mergeCell ref="AH792:AL792"/>
    <mergeCell ref="AH793:AL793"/>
    <mergeCell ref="AH794:AL794"/>
    <mergeCell ref="AH795:AL795"/>
    <mergeCell ref="AM744:AO744"/>
    <mergeCell ref="AH744:AL744"/>
    <mergeCell ref="AH745:AL745"/>
    <mergeCell ref="A11:AL11"/>
    <mergeCell ref="A8:AL8"/>
    <mergeCell ref="S501:AK502"/>
    <mergeCell ref="I409:AE409"/>
    <mergeCell ref="AF178:AG178"/>
    <mergeCell ref="D1044:AK1049"/>
    <mergeCell ref="D1050:AK1055"/>
    <mergeCell ref="D1056:AK1062"/>
    <mergeCell ref="D1063:AK1065"/>
    <mergeCell ref="D1066:AK1070"/>
    <mergeCell ref="AC743:AG743"/>
    <mergeCell ref="AC744:AG744"/>
    <mergeCell ref="AH739:AL739"/>
    <mergeCell ref="AC735:AG735"/>
    <mergeCell ref="AJ974:AQ974"/>
    <mergeCell ref="AC739:AG739"/>
    <mergeCell ref="W843:AC843"/>
    <mergeCell ref="W863:AC863"/>
    <mergeCell ref="W877:AC877"/>
    <mergeCell ref="M869:V869"/>
    <mergeCell ref="U928:Z928"/>
    <mergeCell ref="AG821:AJ822"/>
    <mergeCell ref="W852:AC852"/>
    <mergeCell ref="W860:AC860"/>
    <mergeCell ref="M859:V859"/>
    <mergeCell ref="O739:S739"/>
    <mergeCell ref="AC737:AG737"/>
    <mergeCell ref="T731:X731"/>
    <mergeCell ref="N683:O683"/>
    <mergeCell ref="O733:S733"/>
    <mergeCell ref="Z686:AK686"/>
    <mergeCell ref="AC646:AE646"/>
    <mergeCell ref="G733:J733"/>
    <mergeCell ref="K737:N737"/>
    <mergeCell ref="K738:N738"/>
    <mergeCell ref="K739:N739"/>
    <mergeCell ref="O734:S734"/>
    <mergeCell ref="T739:X739"/>
    <mergeCell ref="T740:X740"/>
    <mergeCell ref="Y735:AB735"/>
    <mergeCell ref="AC738:AG738"/>
    <mergeCell ref="AH734:AL734"/>
    <mergeCell ref="AH735:AL735"/>
    <mergeCell ref="AH736:AL736"/>
    <mergeCell ref="AC740:AG740"/>
    <mergeCell ref="AC741:AG741"/>
    <mergeCell ref="AC742:AG742"/>
    <mergeCell ref="AK642:AN642"/>
    <mergeCell ref="AK643:AN643"/>
    <mergeCell ref="AK644:AN644"/>
    <mergeCell ref="AK645:AN645"/>
    <mergeCell ref="AG699:AH699"/>
    <mergeCell ref="AE703:AF703"/>
    <mergeCell ref="AE704:AF704"/>
    <mergeCell ref="G697:L697"/>
    <mergeCell ref="K728:N728"/>
    <mergeCell ref="AH733:AL733"/>
    <mergeCell ref="AH732:AL732"/>
    <mergeCell ref="G735:J735"/>
    <mergeCell ref="O735:S735"/>
    <mergeCell ref="G693:R693"/>
    <mergeCell ref="AE709:AI709"/>
    <mergeCell ref="AM742:AO742"/>
    <mergeCell ref="P697:R697"/>
    <mergeCell ref="C825:H825"/>
    <mergeCell ref="F829:L829"/>
    <mergeCell ref="M825:P825"/>
    <mergeCell ref="J796:N796"/>
    <mergeCell ref="J794:N794"/>
    <mergeCell ref="J792:N792"/>
    <mergeCell ref="B732:F732"/>
    <mergeCell ref="B733:F733"/>
    <mergeCell ref="G671:R671"/>
    <mergeCell ref="G680:R680"/>
    <mergeCell ref="O743:S743"/>
    <mergeCell ref="O744:S744"/>
    <mergeCell ref="AO638:AS638"/>
    <mergeCell ref="AO641:AS641"/>
    <mergeCell ref="AO648:AS648"/>
    <mergeCell ref="AO639:AS639"/>
    <mergeCell ref="G745:J745"/>
    <mergeCell ref="G746:J746"/>
    <mergeCell ref="M829:P829"/>
    <mergeCell ref="Q823:T823"/>
    <mergeCell ref="Y828:AB828"/>
    <mergeCell ref="U828:X828"/>
    <mergeCell ref="M821:P822"/>
    <mergeCell ref="O788:S788"/>
    <mergeCell ref="Q821:T822"/>
    <mergeCell ref="Z807:AE807"/>
    <mergeCell ref="AH753:AL753"/>
    <mergeCell ref="T753:X753"/>
    <mergeCell ref="O745:S745"/>
    <mergeCell ref="Y739:AB739"/>
    <mergeCell ref="AM747:AO747"/>
    <mergeCell ref="AM748:AO748"/>
    <mergeCell ref="K724:N727"/>
    <mergeCell ref="Z693:AK693"/>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Z661:AK661"/>
    <mergeCell ref="G724:J727"/>
    <mergeCell ref="AC639:AE639"/>
    <mergeCell ref="AE706:AI706"/>
    <mergeCell ref="G662:R662"/>
    <mergeCell ref="Z689:AE689"/>
    <mergeCell ref="H690:R690"/>
    <mergeCell ref="Z680:AK680"/>
    <mergeCell ref="K729:N729"/>
    <mergeCell ref="J715:O715"/>
    <mergeCell ref="W710:AK710"/>
    <mergeCell ref="AG691:AH691"/>
    <mergeCell ref="AA690:AK690"/>
    <mergeCell ref="AH729:AL729"/>
    <mergeCell ref="AC728:AG728"/>
    <mergeCell ref="O742:S742"/>
    <mergeCell ref="AC746:AG746"/>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G748:J748"/>
    <mergeCell ref="G750:J750"/>
    <mergeCell ref="AH782:AL785"/>
    <mergeCell ref="AH786:AL786"/>
    <mergeCell ref="AH790:AL790"/>
    <mergeCell ref="AH791:AL791"/>
    <mergeCell ref="Y748:AB748"/>
    <mergeCell ref="J782:N785"/>
    <mergeCell ref="AC773:AG773"/>
    <mergeCell ref="X772:AB772"/>
    <mergeCell ref="T772:W772"/>
    <mergeCell ref="AC774:AG774"/>
    <mergeCell ref="AC782:AG785"/>
    <mergeCell ref="X791:AB791"/>
    <mergeCell ref="G740:J740"/>
    <mergeCell ref="B753:F753"/>
    <mergeCell ref="U823:X823"/>
    <mergeCell ref="AH740:AL740"/>
    <mergeCell ref="T788:W788"/>
    <mergeCell ref="T789:W789"/>
    <mergeCell ref="O774:S774"/>
    <mergeCell ref="J795:N795"/>
    <mergeCell ref="O795:S795"/>
    <mergeCell ref="O796:S796"/>
    <mergeCell ref="B752:F752"/>
    <mergeCell ref="AC772:AG772"/>
    <mergeCell ref="AC792:AG792"/>
    <mergeCell ref="X774:AB774"/>
    <mergeCell ref="X775:AB775"/>
    <mergeCell ref="Y746:AB746"/>
    <mergeCell ref="AF755:AH755"/>
    <mergeCell ref="AG823:AJ823"/>
    <mergeCell ref="AC793:AG793"/>
    <mergeCell ref="AC794:AG794"/>
    <mergeCell ref="O790:S790"/>
    <mergeCell ref="T742:X742"/>
    <mergeCell ref="T743:X743"/>
    <mergeCell ref="T744:X744"/>
    <mergeCell ref="Z805:AE805"/>
    <mergeCell ref="J787:N787"/>
    <mergeCell ref="T745:X745"/>
    <mergeCell ref="T746:X746"/>
    <mergeCell ref="AH750:AL750"/>
    <mergeCell ref="AH751:AL751"/>
    <mergeCell ref="O740:S740"/>
    <mergeCell ref="O741:S741"/>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Z804:AE804"/>
    <mergeCell ref="AC747:AG747"/>
    <mergeCell ref="AC748:AG748"/>
    <mergeCell ref="K750:N750"/>
    <mergeCell ref="AC745:AG745"/>
    <mergeCell ref="G747:J747"/>
    <mergeCell ref="M824:P824"/>
    <mergeCell ref="AG824:AJ824"/>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33:EB633"/>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C639:EG639"/>
    <mergeCell ref="EH639:EL639"/>
    <mergeCell ref="EM639:EQ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DX652:EB652"/>
    <mergeCell ref="EC652:EG652"/>
    <mergeCell ref="EH652:EL652"/>
    <mergeCell ref="DX643:EB643"/>
    <mergeCell ref="EC643:EG643"/>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EH653:EL653"/>
    <mergeCell ref="EM653:EQ653"/>
    <mergeCell ref="DX655:EB655"/>
    <mergeCell ref="EC655:EG655"/>
    <mergeCell ref="EH655:EL655"/>
    <mergeCell ref="EM655:EQ655"/>
    <mergeCell ref="ER655:EV655"/>
    <mergeCell ref="ER650:EV650"/>
    <mergeCell ref="EM652:EQ652"/>
    <mergeCell ref="T563:V563"/>
    <mergeCell ref="T564:V564"/>
    <mergeCell ref="T565:V565"/>
    <mergeCell ref="T566:V566"/>
    <mergeCell ref="T574:V574"/>
    <mergeCell ref="T575:V575"/>
    <mergeCell ref="O643:Q643"/>
    <mergeCell ref="O644:Q644"/>
    <mergeCell ref="O638:Q638"/>
    <mergeCell ref="O639:Q639"/>
    <mergeCell ref="O640:Q640"/>
    <mergeCell ref="O641:Q641"/>
    <mergeCell ref="O642:Q642"/>
    <mergeCell ref="R637:T637"/>
    <mergeCell ref="R638:T638"/>
    <mergeCell ref="R639:T639"/>
    <mergeCell ref="W569:Y569"/>
    <mergeCell ref="W570:Y570"/>
    <mergeCell ref="W571:Y571"/>
    <mergeCell ref="W572:Y572"/>
    <mergeCell ref="W573:Y573"/>
    <mergeCell ref="W574:Y574"/>
    <mergeCell ref="W575:Y575"/>
    <mergeCell ref="C571:P571"/>
    <mergeCell ref="Q566:S566"/>
    <mergeCell ref="AM743:AO743"/>
    <mergeCell ref="BN656:BR656"/>
    <mergeCell ref="BS656:BW656"/>
    <mergeCell ref="BX656:CB656"/>
    <mergeCell ref="CC656:CG656"/>
    <mergeCell ref="CH656:CL656"/>
    <mergeCell ref="AH746:AL746"/>
    <mergeCell ref="BS651:BW651"/>
    <mergeCell ref="BS663:BW663"/>
    <mergeCell ref="CM656:CQ656"/>
    <mergeCell ref="BN657:BR657"/>
    <mergeCell ref="BS657:BW657"/>
    <mergeCell ref="BX657:CB657"/>
    <mergeCell ref="CC657:CG657"/>
    <mergeCell ref="CH657:CL657"/>
    <mergeCell ref="CM657:CQ657"/>
    <mergeCell ref="BN658:BR658"/>
    <mergeCell ref="BS658:BW658"/>
    <mergeCell ref="BX658:CB658"/>
    <mergeCell ref="CC658:CG658"/>
    <mergeCell ref="CH658:CL658"/>
    <mergeCell ref="CM658:CQ658"/>
    <mergeCell ref="CM654:CQ654"/>
    <mergeCell ref="AO651:AS651"/>
    <mergeCell ref="CM663:CQ663"/>
    <mergeCell ref="CM652:CQ652"/>
    <mergeCell ref="CM651:CQ651"/>
    <mergeCell ref="CC663:CG663"/>
    <mergeCell ref="CC654:CG654"/>
    <mergeCell ref="CH654:CL654"/>
    <mergeCell ref="AM746:AO746"/>
    <mergeCell ref="A719:AO721"/>
    <mergeCell ref="CS654:CW654"/>
    <mergeCell ref="CX654:DB654"/>
    <mergeCell ref="DC654:DG654"/>
    <mergeCell ref="DH654:DL654"/>
    <mergeCell ref="DM654:DQ654"/>
    <mergeCell ref="DR654:DV654"/>
    <mergeCell ref="BS642:BW642"/>
    <mergeCell ref="BX642:CB642"/>
    <mergeCell ref="BN643:BR643"/>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8:BW648"/>
    <mergeCell ref="BN650:BR650"/>
    <mergeCell ref="CM653:CQ653"/>
    <mergeCell ref="BS650:BW650"/>
    <mergeCell ref="BN648:BR648"/>
    <mergeCell ref="BS649:BW649"/>
    <mergeCell ref="BX651:CB651"/>
    <mergeCell ref="BS652:BW652"/>
    <mergeCell ref="CH642:CL642"/>
    <mergeCell ref="CH650:CL650"/>
    <mergeCell ref="CH653:CL653"/>
    <mergeCell ref="DR650:DV650"/>
    <mergeCell ref="CS651:CW651"/>
    <mergeCell ref="CX651:DB651"/>
    <mergeCell ref="DC651:DG651"/>
    <mergeCell ref="DH651:DL651"/>
    <mergeCell ref="DM651:DQ651"/>
    <mergeCell ref="DR651:DV651"/>
    <mergeCell ref="CS648:CW648"/>
    <mergeCell ref="CX648:DB648"/>
    <mergeCell ref="CS652:CW652"/>
    <mergeCell ref="CX652:DB652"/>
    <mergeCell ref="DC652:DG652"/>
    <mergeCell ref="DH652:DL652"/>
    <mergeCell ref="DM652:DQ652"/>
    <mergeCell ref="DR652:DV652"/>
    <mergeCell ref="CS653:CW653"/>
    <mergeCell ref="CX653:DB653"/>
    <mergeCell ref="DC653:DG653"/>
    <mergeCell ref="DH653:DL653"/>
    <mergeCell ref="DM653:DQ653"/>
    <mergeCell ref="DR653:DV653"/>
    <mergeCell ref="DR649:DV649"/>
    <mergeCell ref="CS650:CW650"/>
    <mergeCell ref="CX650:DB650"/>
    <mergeCell ref="DC650:DG650"/>
    <mergeCell ref="DH650:DL650"/>
    <mergeCell ref="DM650:DQ650"/>
    <mergeCell ref="CS658:CW658"/>
    <mergeCell ref="CX658:DB658"/>
    <mergeCell ref="DC658:DG658"/>
    <mergeCell ref="DH658:DL658"/>
    <mergeCell ref="DM658:DQ658"/>
    <mergeCell ref="DR658:DV658"/>
    <mergeCell ref="DR660:DV660"/>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s>
  <phoneticPr fontId="0" type="noConversion"/>
  <conditionalFormatting sqref="AF1000">
    <cfRule type="cellIs" dxfId="123" priority="4" stopIfTrue="1" operator="equal">
      <formula>"Please Enter Amount:"</formula>
    </cfRule>
  </conditionalFormatting>
  <conditionalFormatting sqref="AJ1024">
    <cfRule type="cellIs" dxfId="122" priority="7" stopIfTrue="1" operator="equal">
      <formula>"#DIV/0!"</formula>
    </cfRule>
  </conditionalFormatting>
  <conditionalFormatting sqref="AG440:AJ440">
    <cfRule type="expression" dxfId="121" priority="8" stopIfTrue="1">
      <formula>"iserror(d31)"</formula>
    </cfRule>
  </conditionalFormatting>
  <conditionalFormatting sqref="AF1012">
    <cfRule type="cellIs" dxfId="120" priority="2" stopIfTrue="1" operator="equal">
      <formula>"Please Enter Amount:"</formula>
    </cfRule>
  </conditionalFormatting>
  <conditionalFormatting sqref="AF1005">
    <cfRule type="cellIs" dxfId="11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Q47" sqref="Q47"/>
    </sheetView>
  </sheetViews>
  <sheetFormatPr defaultColWidth="0" defaultRowHeight="12" zeroHeight="1"/>
  <cols>
    <col min="1" max="1" width="35.7109375" style="299" customWidth="1"/>
    <col min="2" max="12" width="12.28515625" style="229" customWidth="1"/>
    <col min="13" max="17" width="11.28515625" style="229" customWidth="1"/>
    <col min="18" max="18" width="12.7109375" style="229" customWidth="1"/>
    <col min="19" max="20" width="12.28515625" style="229" customWidth="1"/>
    <col min="21" max="21" width="0.28515625" style="232" customWidth="1"/>
    <col min="22" max="16383" width="8.7109375" style="229" hidden="1"/>
    <col min="16384" max="16384" width="0.28515625" style="229" customWidth="1"/>
  </cols>
  <sheetData>
    <row r="1" spans="1:21" s="166" customFormat="1" ht="13.5">
      <c r="A1" s="246" t="s">
        <v>584</v>
      </c>
      <c r="B1" s="189"/>
      <c r="C1" s="189"/>
      <c r="D1" s="189"/>
      <c r="E1" s="190"/>
      <c r="F1" s="2463" t="s">
        <v>658</v>
      </c>
      <c r="G1" s="2464"/>
      <c r="H1" s="2464"/>
      <c r="I1" s="2464"/>
      <c r="J1" s="2464"/>
      <c r="K1" s="2464"/>
      <c r="L1" s="2464"/>
      <c r="M1" s="2464"/>
      <c r="N1" s="2464"/>
      <c r="O1" s="2464"/>
      <c r="P1" s="2464"/>
      <c r="Q1" s="2464"/>
      <c r="R1" s="2465"/>
      <c r="S1" s="168"/>
      <c r="T1" s="167"/>
      <c r="U1" s="169"/>
    </row>
    <row r="2" spans="1:21" s="208" customFormat="1" ht="71.25" customHeight="1">
      <c r="A2" s="207"/>
      <c r="B2" s="208" t="s">
        <v>24</v>
      </c>
      <c r="C2" s="208" t="s">
        <v>394</v>
      </c>
      <c r="D2" s="208" t="s">
        <v>393</v>
      </c>
      <c r="E2" s="208" t="s">
        <v>25</v>
      </c>
      <c r="F2" s="209" t="str">
        <f>Application!B637&amp;Application!C637</f>
        <v>1)BellwetherEnterprise - perm loan</v>
      </c>
      <c r="G2" s="209" t="str">
        <f>Application!B638&amp;Application!C638</f>
        <v>2)HCD Serna (19-FWHG-14443)</v>
      </c>
      <c r="H2" s="209" t="str">
        <f>Application!B639&amp;Application!C639</f>
        <v>3)Sponsor loan - Monterey County TIF</v>
      </c>
      <c r="I2" s="209" t="str">
        <f>Application!B640&amp;Application!C640</f>
        <v>4)Sponsor loan - Monterey Bay Community Power</v>
      </c>
      <c r="J2" s="209" t="str">
        <f>Application!B641&amp;Application!C641</f>
        <v xml:space="preserve">5)Century Communities (GP Equity) </v>
      </c>
      <c r="K2" s="209" t="str">
        <f>Application!B642&amp;Application!C642</f>
        <v>6)Deferred developer fee</v>
      </c>
      <c r="L2" s="209" t="str">
        <f>Application!B643&amp;Application!C643</f>
        <v xml:space="preserve">7)GP equity </v>
      </c>
      <c r="M2" s="209" t="str">
        <f>Application!B644&amp;Application!C644</f>
        <v>8)LP equity PV credit</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3300000</v>
      </c>
      <c r="C4" s="217">
        <f>'[9]main spreadsheet'!$BO$24</f>
        <v>3300000</v>
      </c>
      <c r="D4" s="217"/>
      <c r="E4" s="217">
        <f>C4-SUM(F4:M4)</f>
        <v>0</v>
      </c>
      <c r="F4" s="217"/>
      <c r="G4" s="217"/>
      <c r="H4" s="217"/>
      <c r="I4" s="217"/>
      <c r="J4" s="217">
        <f>Application!AO641</f>
        <v>3300000</v>
      </c>
      <c r="K4" s="217"/>
      <c r="L4" s="217"/>
      <c r="M4" s="217"/>
      <c r="N4" s="217"/>
      <c r="O4" s="217"/>
      <c r="P4" s="217"/>
      <c r="Q4" s="217"/>
      <c r="R4" s="809">
        <f>SUM(E4:Q4)</f>
        <v>3300000</v>
      </c>
      <c r="S4" s="218"/>
      <c r="T4" s="218"/>
      <c r="U4" s="213"/>
    </row>
    <row r="5" spans="1:21" s="214" customFormat="1">
      <c r="A5" s="215" t="s">
        <v>29</v>
      </c>
      <c r="B5" s="216">
        <f>SUM(C5+D5)</f>
        <v>0</v>
      </c>
      <c r="C5" s="217"/>
      <c r="D5" s="217"/>
      <c r="E5" s="217">
        <f t="shared" ref="E5:E7" si="0">C5-SUM(F5:M5)</f>
        <v>0</v>
      </c>
      <c r="F5" s="217"/>
      <c r="G5" s="217"/>
      <c r="H5" s="217"/>
      <c r="I5" s="217"/>
      <c r="J5" s="217"/>
      <c r="K5" s="217"/>
      <c r="L5" s="217"/>
      <c r="M5" s="217"/>
      <c r="N5" s="217"/>
      <c r="O5" s="217"/>
      <c r="P5" s="217"/>
      <c r="Q5" s="217"/>
      <c r="R5" s="809">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09">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09">
        <f>SUM(E7:Q7)</f>
        <v>0</v>
      </c>
      <c r="S7" s="218"/>
      <c r="T7" s="218"/>
      <c r="U7" s="213"/>
    </row>
    <row r="8" spans="1:21" s="214" customFormat="1">
      <c r="A8" s="219" t="s">
        <v>630</v>
      </c>
      <c r="B8" s="216">
        <f>SUM(C8:D8)</f>
        <v>3300000</v>
      </c>
      <c r="C8" s="216">
        <f t="shared" ref="C8:Q8" si="1">SUM(C4:C7)</f>
        <v>3300000</v>
      </c>
      <c r="D8" s="216">
        <f t="shared" si="1"/>
        <v>0</v>
      </c>
      <c r="E8" s="216">
        <f t="shared" si="1"/>
        <v>0</v>
      </c>
      <c r="F8" s="216">
        <f t="shared" si="1"/>
        <v>0</v>
      </c>
      <c r="G8" s="216">
        <f t="shared" si="1"/>
        <v>0</v>
      </c>
      <c r="H8" s="216">
        <f t="shared" si="1"/>
        <v>0</v>
      </c>
      <c r="I8" s="216">
        <f t="shared" si="1"/>
        <v>0</v>
      </c>
      <c r="J8" s="216">
        <f t="shared" si="1"/>
        <v>3300000</v>
      </c>
      <c r="K8" s="216">
        <f t="shared" si="1"/>
        <v>0</v>
      </c>
      <c r="L8" s="216">
        <f t="shared" si="1"/>
        <v>0</v>
      </c>
      <c r="M8" s="216">
        <f t="shared" si="1"/>
        <v>0</v>
      </c>
      <c r="N8" s="216">
        <f t="shared" si="1"/>
        <v>0</v>
      </c>
      <c r="O8" s="216">
        <f t="shared" si="1"/>
        <v>0</v>
      </c>
      <c r="P8" s="216"/>
      <c r="Q8" s="216">
        <f t="shared" si="1"/>
        <v>0</v>
      </c>
      <c r="R8" s="535">
        <f>SUM(R4:R7)</f>
        <v>3300000</v>
      </c>
      <c r="S8" s="218"/>
      <c r="T8" s="218"/>
      <c r="U8" s="213"/>
    </row>
    <row r="9" spans="1:21" s="214" customFormat="1">
      <c r="A9" s="215" t="s">
        <v>631</v>
      </c>
      <c r="B9" s="216">
        <f>SUM(C9+D9)</f>
        <v>0</v>
      </c>
      <c r="C9" s="217"/>
      <c r="D9" s="217"/>
      <c r="E9" s="217">
        <f t="shared" ref="E9:E10" si="2">C9-SUM(F9:M9)</f>
        <v>0</v>
      </c>
      <c r="F9" s="217"/>
      <c r="G9" s="217"/>
      <c r="H9" s="217"/>
      <c r="I9" s="217"/>
      <c r="J9" s="217"/>
      <c r="K9" s="217"/>
      <c r="L9" s="217"/>
      <c r="M9" s="217"/>
      <c r="N9" s="217"/>
      <c r="O9" s="217"/>
      <c r="P9" s="217"/>
      <c r="Q9" s="217"/>
      <c r="R9" s="809">
        <f>SUM(E9:Q9)</f>
        <v>0</v>
      </c>
      <c r="S9" s="218"/>
      <c r="T9" s="217"/>
      <c r="U9" s="213"/>
    </row>
    <row r="10" spans="1:21" s="214" customFormat="1">
      <c r="A10" s="215" t="s">
        <v>632</v>
      </c>
      <c r="B10" s="216">
        <f>SUM(C10+D10)</f>
        <v>40000</v>
      </c>
      <c r="C10" s="217">
        <f>'[9]main spreadsheet'!$BO$26</f>
        <v>40000</v>
      </c>
      <c r="D10" s="217"/>
      <c r="E10" s="217">
        <f t="shared" si="2"/>
        <v>40000</v>
      </c>
      <c r="F10" s="217"/>
      <c r="G10" s="217"/>
      <c r="H10" s="217"/>
      <c r="I10" s="217"/>
      <c r="J10" s="217"/>
      <c r="K10" s="217"/>
      <c r="L10" s="217"/>
      <c r="M10" s="217"/>
      <c r="N10" s="217"/>
      <c r="O10" s="217"/>
      <c r="P10" s="217"/>
      <c r="Q10" s="217"/>
      <c r="R10" s="809">
        <f>SUM(E10:Q10)</f>
        <v>40000</v>
      </c>
      <c r="S10" s="217">
        <f>R10</f>
        <v>40000</v>
      </c>
      <c r="T10" s="217"/>
      <c r="U10" s="213"/>
    </row>
    <row r="11" spans="1:21" s="214" customFormat="1">
      <c r="A11" s="219" t="s">
        <v>633</v>
      </c>
      <c r="B11" s="216">
        <f>SUM(C11:D11)</f>
        <v>40000</v>
      </c>
      <c r="C11" s="216">
        <f t="shared" ref="C11:Q11" si="3">SUM(C9:C10)</f>
        <v>40000</v>
      </c>
      <c r="D11" s="216">
        <f t="shared" si="3"/>
        <v>0</v>
      </c>
      <c r="E11" s="216">
        <f t="shared" si="3"/>
        <v>40000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5">
        <f>SUM(R9:R10)</f>
        <v>40000</v>
      </c>
      <c r="S11" s="218"/>
      <c r="T11" s="220">
        <f>SUM(T9:T10)</f>
        <v>0</v>
      </c>
      <c r="U11" s="213"/>
    </row>
    <row r="12" spans="1:21" s="214" customFormat="1">
      <c r="A12" s="219" t="s">
        <v>89</v>
      </c>
      <c r="B12" s="216">
        <f t="shared" ref="B12:Q12" si="4">SUM(B8+B11)</f>
        <v>3340000</v>
      </c>
      <c r="C12" s="216">
        <f t="shared" si="4"/>
        <v>3340000</v>
      </c>
      <c r="D12" s="216">
        <f t="shared" si="4"/>
        <v>0</v>
      </c>
      <c r="E12" s="216">
        <f t="shared" si="4"/>
        <v>40000</v>
      </c>
      <c r="F12" s="216">
        <f t="shared" si="4"/>
        <v>0</v>
      </c>
      <c r="G12" s="216">
        <f t="shared" si="4"/>
        <v>0</v>
      </c>
      <c r="H12" s="216">
        <f t="shared" si="4"/>
        <v>0</v>
      </c>
      <c r="I12" s="216">
        <f t="shared" si="4"/>
        <v>0</v>
      </c>
      <c r="J12" s="216">
        <f t="shared" si="4"/>
        <v>3300000</v>
      </c>
      <c r="K12" s="216">
        <f t="shared" si="4"/>
        <v>0</v>
      </c>
      <c r="L12" s="216">
        <f t="shared" si="4"/>
        <v>0</v>
      </c>
      <c r="M12" s="216">
        <f t="shared" si="4"/>
        <v>0</v>
      </c>
      <c r="N12" s="216">
        <f t="shared" si="4"/>
        <v>0</v>
      </c>
      <c r="O12" s="216">
        <f t="shared" si="4"/>
        <v>0</v>
      </c>
      <c r="P12" s="216"/>
      <c r="Q12" s="216">
        <f t="shared" si="4"/>
        <v>0</v>
      </c>
      <c r="R12" s="535">
        <f>SUM(R8+R11)</f>
        <v>3340000</v>
      </c>
      <c r="S12" s="218"/>
      <c r="T12" s="218"/>
      <c r="U12" s="213"/>
    </row>
    <row r="13" spans="1:21" s="214" customFormat="1">
      <c r="A13" s="450" t="s">
        <v>975</v>
      </c>
      <c r="B13" s="216">
        <f>SUM(C13+D13)</f>
        <v>115000</v>
      </c>
      <c r="C13" s="217">
        <f>'[9]main spreadsheet'!$BO$25</f>
        <v>115000</v>
      </c>
      <c r="D13" s="217"/>
      <c r="E13" s="217">
        <f t="shared" ref="E13:E15" si="5">C13-SUM(F13:M13)</f>
        <v>115000</v>
      </c>
      <c r="F13" s="217"/>
      <c r="G13" s="217"/>
      <c r="H13" s="217"/>
      <c r="I13" s="217"/>
      <c r="J13" s="217"/>
      <c r="K13" s="217"/>
      <c r="L13" s="217"/>
      <c r="M13" s="217"/>
      <c r="N13" s="217"/>
      <c r="O13" s="217"/>
      <c r="P13" s="217"/>
      <c r="Q13" s="217"/>
      <c r="R13" s="809">
        <f>SUM(E13:Q13)</f>
        <v>115000</v>
      </c>
      <c r="S13" s="217"/>
      <c r="T13" s="217"/>
      <c r="U13" s="213"/>
    </row>
    <row r="14" spans="1:21" s="214" customFormat="1" ht="24">
      <c r="A14" s="451" t="s">
        <v>2015</v>
      </c>
      <c r="B14" s="216">
        <f>SUM(C14+D14)</f>
        <v>0</v>
      </c>
      <c r="C14" s="217"/>
      <c r="D14" s="217"/>
      <c r="E14" s="217">
        <f t="shared" si="5"/>
        <v>0</v>
      </c>
      <c r="F14" s="217"/>
      <c r="G14" s="217"/>
      <c r="H14" s="217"/>
      <c r="I14" s="217"/>
      <c r="J14" s="217"/>
      <c r="K14" s="217"/>
      <c r="L14" s="217"/>
      <c r="M14" s="217"/>
      <c r="N14" s="217"/>
      <c r="O14" s="217"/>
      <c r="P14" s="217"/>
      <c r="Q14" s="217"/>
      <c r="R14" s="809">
        <f>SUM(E14:Q14)</f>
        <v>0</v>
      </c>
      <c r="S14" s="217"/>
      <c r="T14" s="217"/>
      <c r="U14" s="213"/>
    </row>
    <row r="15" spans="1:21" s="214" customFormat="1">
      <c r="A15" s="451" t="s">
        <v>1360</v>
      </c>
      <c r="B15" s="216">
        <f>SUM(C15+D15)</f>
        <v>0</v>
      </c>
      <c r="C15" s="217"/>
      <c r="D15" s="217"/>
      <c r="E15" s="217">
        <f t="shared" si="5"/>
        <v>0</v>
      </c>
      <c r="F15" s="217"/>
      <c r="G15" s="217"/>
      <c r="H15" s="217"/>
      <c r="I15" s="217"/>
      <c r="J15" s="217"/>
      <c r="K15" s="217"/>
      <c r="L15" s="217"/>
      <c r="M15" s="217"/>
      <c r="N15" s="217"/>
      <c r="O15" s="217"/>
      <c r="P15" s="217"/>
      <c r="Q15" s="217"/>
      <c r="R15" s="809">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6">SUM(C17+D17)</f>
        <v>0</v>
      </c>
      <c r="C17" s="217"/>
      <c r="D17" s="217"/>
      <c r="E17" s="217"/>
      <c r="F17" s="217"/>
      <c r="G17" s="217"/>
      <c r="H17" s="217"/>
      <c r="I17" s="217"/>
      <c r="J17" s="217"/>
      <c r="K17" s="217"/>
      <c r="L17" s="217"/>
      <c r="M17" s="217"/>
      <c r="N17" s="217"/>
      <c r="O17" s="217"/>
      <c r="P17" s="217"/>
      <c r="Q17" s="217"/>
      <c r="R17" s="809">
        <f>SUM(E17:Q17)</f>
        <v>0</v>
      </c>
      <c r="S17" s="217"/>
      <c r="T17" s="217"/>
      <c r="U17" s="213"/>
    </row>
    <row r="18" spans="1:21" s="214" customFormat="1">
      <c r="A18" s="215" t="s">
        <v>636</v>
      </c>
      <c r="B18" s="216">
        <f t="shared" si="6"/>
        <v>0</v>
      </c>
      <c r="C18" s="217"/>
      <c r="D18" s="217"/>
      <c r="E18" s="217"/>
      <c r="F18" s="217"/>
      <c r="G18" s="217"/>
      <c r="H18" s="217"/>
      <c r="I18" s="217"/>
      <c r="J18" s="217"/>
      <c r="K18" s="217"/>
      <c r="L18" s="217"/>
      <c r="M18" s="217"/>
      <c r="N18" s="217"/>
      <c r="O18" s="217"/>
      <c r="P18" s="217"/>
      <c r="Q18" s="217"/>
      <c r="R18" s="809">
        <f>SUM(E18:Q18)</f>
        <v>0</v>
      </c>
      <c r="S18" s="217"/>
      <c r="T18" s="217"/>
      <c r="U18" s="213"/>
    </row>
    <row r="19" spans="1:21" s="214" customFormat="1">
      <c r="A19" s="215" t="s">
        <v>637</v>
      </c>
      <c r="B19" s="216">
        <f t="shared" si="6"/>
        <v>0</v>
      </c>
      <c r="C19" s="217"/>
      <c r="D19" s="217"/>
      <c r="E19" s="217"/>
      <c r="F19" s="217"/>
      <c r="G19" s="217"/>
      <c r="H19" s="217"/>
      <c r="I19" s="217"/>
      <c r="J19" s="217"/>
      <c r="K19" s="217"/>
      <c r="L19" s="217"/>
      <c r="M19" s="217"/>
      <c r="N19" s="217"/>
      <c r="O19" s="217"/>
      <c r="P19" s="217"/>
      <c r="Q19" s="217"/>
      <c r="R19" s="809">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09">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09">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09">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09">
        <f t="shared" si="7"/>
        <v>0</v>
      </c>
      <c r="S23" s="217"/>
      <c r="T23" s="217"/>
      <c r="U23" s="213"/>
    </row>
    <row r="24" spans="1:21" s="214" customFormat="1">
      <c r="A24" s="789" t="s">
        <v>2012</v>
      </c>
      <c r="B24" s="216"/>
      <c r="C24" s="217"/>
      <c r="D24" s="217"/>
      <c r="E24" s="217"/>
      <c r="F24" s="217"/>
      <c r="G24" s="217"/>
      <c r="H24" s="217"/>
      <c r="I24" s="217"/>
      <c r="J24" s="217"/>
      <c r="K24" s="217"/>
      <c r="L24" s="217"/>
      <c r="M24" s="217"/>
      <c r="N24" s="217"/>
      <c r="O24" s="217"/>
      <c r="P24" s="217"/>
      <c r="Q24" s="217"/>
      <c r="R24" s="809"/>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09">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09">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9">SUM(C29+D29)</f>
        <v>5352099</v>
      </c>
      <c r="C29" s="1626">
        <f>'[9]main spreadsheet'!$BO$27</f>
        <v>5352099</v>
      </c>
      <c r="D29" s="1626"/>
      <c r="E29" s="217">
        <f t="shared" ref="E29:E37" si="10">C29-SUM(F29:M29)</f>
        <v>2852099</v>
      </c>
      <c r="F29" s="217"/>
      <c r="G29" s="217">
        <v>2500000</v>
      </c>
      <c r="H29" s="217"/>
      <c r="I29" s="217"/>
      <c r="J29" s="217"/>
      <c r="K29" s="217"/>
      <c r="L29" s="217"/>
      <c r="M29" s="217"/>
      <c r="N29" s="217"/>
      <c r="O29" s="217"/>
      <c r="P29" s="217"/>
      <c r="Q29" s="217"/>
      <c r="R29" s="809">
        <f t="shared" ref="R29:R37" si="11">SUM(E29:Q29)</f>
        <v>5352099</v>
      </c>
      <c r="S29" s="217">
        <f>+R29</f>
        <v>5352099</v>
      </c>
      <c r="T29" s="217"/>
      <c r="U29" s="213"/>
    </row>
    <row r="30" spans="1:21" s="214" customFormat="1">
      <c r="A30" s="215" t="s">
        <v>636</v>
      </c>
      <c r="B30" s="216">
        <f t="shared" ca="1" si="9"/>
        <v>17651650.09090909</v>
      </c>
      <c r="C30" s="1626">
        <f ca="1">'[9]main spreadsheet'!$BO$28+'[9]main spreadsheet'!$BO$32-C34</f>
        <v>17651650.09090909</v>
      </c>
      <c r="D30" s="1626"/>
      <c r="E30" s="217">
        <f t="shared" ca="1" si="10"/>
        <v>1129774.695703689</v>
      </c>
      <c r="F30" s="217">
        <f>+Application!AO637</f>
        <v>10146800</v>
      </c>
      <c r="G30" s="217">
        <f>+Application!AO638-'Sources and Uses Budget'!G29</f>
        <v>2977743</v>
      </c>
      <c r="H30" s="217">
        <f>Application!AO639-H42-H43-H45</f>
        <v>3232332.3952054013</v>
      </c>
      <c r="I30" s="217">
        <f>Application!AO640</f>
        <v>165000</v>
      </c>
      <c r="J30" s="217"/>
      <c r="K30" s="217"/>
      <c r="L30" s="217"/>
      <c r="M30" s="217"/>
      <c r="N30" s="217"/>
      <c r="O30" s="217"/>
      <c r="P30" s="217"/>
      <c r="Q30" s="217"/>
      <c r="R30" s="809">
        <f t="shared" ca="1" si="11"/>
        <v>17651650.09090909</v>
      </c>
      <c r="S30" s="217">
        <f t="shared" ref="S30:S37" ca="1" si="12">+R30</f>
        <v>17651650.09090909</v>
      </c>
      <c r="T30" s="217"/>
      <c r="U30" s="213"/>
    </row>
    <row r="31" spans="1:21" s="214" customFormat="1">
      <c r="A31" s="215" t="s">
        <v>637</v>
      </c>
      <c r="B31" s="216">
        <f t="shared" ca="1" si="9"/>
        <v>720708.06272727263</v>
      </c>
      <c r="C31" s="1626">
        <f ca="1">0.03*(C29+C30+C37)</f>
        <v>720708.06272727263</v>
      </c>
      <c r="D31" s="1626"/>
      <c r="E31" s="217">
        <f t="shared" ca="1" si="10"/>
        <v>720708.06272727263</v>
      </c>
      <c r="F31" s="217"/>
      <c r="G31" s="217"/>
      <c r="H31" s="217"/>
      <c r="I31" s="217"/>
      <c r="J31" s="217"/>
      <c r="K31" s="217"/>
      <c r="L31" s="217"/>
      <c r="M31" s="217"/>
      <c r="N31" s="217"/>
      <c r="O31" s="217"/>
      <c r="P31" s="217"/>
      <c r="Q31" s="217"/>
      <c r="R31" s="809">
        <f t="shared" ca="1" si="11"/>
        <v>720708.06272727263</v>
      </c>
      <c r="S31" s="217">
        <f t="shared" ca="1" si="12"/>
        <v>720708.06272727263</v>
      </c>
      <c r="T31" s="217"/>
      <c r="U31" s="213"/>
    </row>
    <row r="32" spans="1:21" s="214" customFormat="1">
      <c r="A32" s="215" t="s">
        <v>142</v>
      </c>
      <c r="B32" s="216">
        <f t="shared" ca="1" si="9"/>
        <v>1410124.4686363637</v>
      </c>
      <c r="C32" s="1626">
        <f ca="1">('[9]main spreadsheet'!$BO$29-C31)/2</f>
        <v>1410124.4686363637</v>
      </c>
      <c r="D32" s="1626"/>
      <c r="E32" s="217">
        <f t="shared" ca="1" si="10"/>
        <v>1410124.4686363637</v>
      </c>
      <c r="F32" s="217"/>
      <c r="G32" s="217"/>
      <c r="H32" s="217"/>
      <c r="I32" s="217"/>
      <c r="J32" s="217"/>
      <c r="K32" s="217"/>
      <c r="L32" s="217"/>
      <c r="M32" s="217"/>
      <c r="N32" s="217"/>
      <c r="O32" s="217"/>
      <c r="P32" s="217"/>
      <c r="Q32" s="217"/>
      <c r="R32" s="809">
        <f t="shared" ca="1" si="11"/>
        <v>1410124.4686363637</v>
      </c>
      <c r="S32" s="217">
        <f t="shared" ca="1" si="12"/>
        <v>1410124.4686363637</v>
      </c>
      <c r="T32" s="217"/>
      <c r="U32" s="213"/>
    </row>
    <row r="33" spans="1:21" s="214" customFormat="1">
      <c r="A33" s="215" t="s">
        <v>143</v>
      </c>
      <c r="B33" s="216">
        <f t="shared" ca="1" si="9"/>
        <v>1410124.4686363637</v>
      </c>
      <c r="C33" s="1626">
        <f ca="1">C32</f>
        <v>1410124.4686363637</v>
      </c>
      <c r="D33" s="1626"/>
      <c r="E33" s="217">
        <f t="shared" ca="1" si="10"/>
        <v>1410124.4686363637</v>
      </c>
      <c r="F33" s="217"/>
      <c r="G33" s="217"/>
      <c r="H33" s="217"/>
      <c r="I33" s="217"/>
      <c r="J33" s="217"/>
      <c r="K33" s="217"/>
      <c r="L33" s="217"/>
      <c r="M33" s="217"/>
      <c r="N33" s="217"/>
      <c r="O33" s="217"/>
      <c r="P33" s="217"/>
      <c r="Q33" s="217"/>
      <c r="R33" s="809">
        <f t="shared" ca="1" si="11"/>
        <v>1410124.4686363637</v>
      </c>
      <c r="S33" s="217">
        <f t="shared" ca="1" si="12"/>
        <v>1410124.4686363637</v>
      </c>
      <c r="T33" s="217"/>
      <c r="U33" s="213"/>
    </row>
    <row r="34" spans="1:21" s="214" customFormat="1">
      <c r="A34" s="215" t="s">
        <v>144</v>
      </c>
      <c r="B34" s="216">
        <f t="shared" ca="1" si="9"/>
        <v>2300374.9090909092</v>
      </c>
      <c r="C34" s="1626">
        <f ca="1">(C29+C30)*0.1</f>
        <v>2300374.9090909092</v>
      </c>
      <c r="D34" s="1626"/>
      <c r="E34" s="217">
        <f t="shared" ca="1" si="10"/>
        <v>2300374.9090909092</v>
      </c>
      <c r="F34" s="217"/>
      <c r="G34" s="217"/>
      <c r="H34" s="217"/>
      <c r="I34" s="217"/>
      <c r="J34" s="217"/>
      <c r="K34" s="217"/>
      <c r="L34" s="217"/>
      <c r="M34" s="217"/>
      <c r="N34" s="217"/>
      <c r="O34" s="217"/>
      <c r="P34" s="217"/>
      <c r="Q34" s="217"/>
      <c r="R34" s="809">
        <f t="shared" ca="1" si="11"/>
        <v>2300374.9090909092</v>
      </c>
      <c r="S34" s="217">
        <f t="shared" ca="1" si="12"/>
        <v>2300374.9090909092</v>
      </c>
      <c r="T34" s="217"/>
      <c r="U34" s="213"/>
    </row>
    <row r="35" spans="1:21" s="214" customFormat="1">
      <c r="A35" s="215" t="s">
        <v>145</v>
      </c>
      <c r="B35" s="216">
        <f t="shared" si="9"/>
        <v>150000</v>
      </c>
      <c r="C35" s="1626">
        <f>'[9]main spreadsheet'!$BO$30</f>
        <v>150000</v>
      </c>
      <c r="D35" s="1626"/>
      <c r="E35" s="217">
        <f t="shared" si="10"/>
        <v>150000</v>
      </c>
      <c r="F35" s="217"/>
      <c r="G35" s="217"/>
      <c r="H35" s="217"/>
      <c r="I35" s="217"/>
      <c r="J35" s="217"/>
      <c r="K35" s="217"/>
      <c r="L35" s="217"/>
      <c r="M35" s="217"/>
      <c r="N35" s="217"/>
      <c r="O35" s="217"/>
      <c r="P35" s="217"/>
      <c r="Q35" s="217"/>
      <c r="R35" s="809">
        <f t="shared" si="11"/>
        <v>150000</v>
      </c>
      <c r="S35" s="217">
        <f t="shared" si="12"/>
        <v>150000</v>
      </c>
      <c r="T35" s="217"/>
      <c r="U35" s="213"/>
    </row>
    <row r="36" spans="1:21" s="214" customFormat="1">
      <c r="A36" s="1670" t="s">
        <v>2012</v>
      </c>
      <c r="B36" s="216"/>
      <c r="C36" s="1626"/>
      <c r="D36" s="217"/>
      <c r="E36" s="217">
        <f t="shared" si="10"/>
        <v>0</v>
      </c>
      <c r="F36" s="217"/>
      <c r="G36" s="217"/>
      <c r="H36" s="217"/>
      <c r="I36" s="217"/>
      <c r="J36" s="217"/>
      <c r="K36" s="217"/>
      <c r="L36" s="217"/>
      <c r="M36" s="217"/>
      <c r="N36" s="217"/>
      <c r="O36" s="217"/>
      <c r="P36" s="217"/>
      <c r="Q36" s="217"/>
      <c r="R36" s="809"/>
      <c r="S36" s="217">
        <f t="shared" si="12"/>
        <v>0</v>
      </c>
      <c r="T36" s="217"/>
      <c r="U36" s="213"/>
    </row>
    <row r="37" spans="1:21" s="214" customFormat="1">
      <c r="A37" s="222" t="s">
        <v>2572</v>
      </c>
      <c r="B37" s="216">
        <f t="shared" si="9"/>
        <v>1019853</v>
      </c>
      <c r="C37" s="1626">
        <v>1019853</v>
      </c>
      <c r="D37" s="217"/>
      <c r="E37" s="217">
        <f t="shared" si="10"/>
        <v>669481.62691623811</v>
      </c>
      <c r="F37" s="217"/>
      <c r="G37" s="217"/>
      <c r="H37" s="217"/>
      <c r="I37" s="217"/>
      <c r="J37" s="217"/>
      <c r="K37" s="217"/>
      <c r="L37" s="217"/>
      <c r="M37" s="217">
        <f>Application!AO644</f>
        <v>350371.37308376189</v>
      </c>
      <c r="N37" s="217"/>
      <c r="O37" s="217"/>
      <c r="P37" s="217"/>
      <c r="Q37" s="217"/>
      <c r="R37" s="809">
        <f t="shared" si="11"/>
        <v>1019853</v>
      </c>
      <c r="S37" s="217">
        <f t="shared" si="12"/>
        <v>1019853</v>
      </c>
      <c r="T37" s="217"/>
      <c r="U37" s="213"/>
    </row>
    <row r="38" spans="1:21" s="214" customFormat="1">
      <c r="A38" s="219" t="s">
        <v>148</v>
      </c>
      <c r="B38" s="216">
        <f t="shared" ca="1" si="9"/>
        <v>30014934</v>
      </c>
      <c r="C38" s="216">
        <f ca="1">SUM(C29:C37)</f>
        <v>30014934</v>
      </c>
      <c r="D38" s="216">
        <f t="shared" ref="D38:Q38" si="13">SUM(D29:D37)</f>
        <v>0</v>
      </c>
      <c r="E38" s="216">
        <f t="shared" ca="1" si="13"/>
        <v>10642687.231710836</v>
      </c>
      <c r="F38" s="216">
        <f t="shared" si="13"/>
        <v>10146800</v>
      </c>
      <c r="G38" s="216">
        <f t="shared" si="13"/>
        <v>5477743</v>
      </c>
      <c r="H38" s="216">
        <f t="shared" si="13"/>
        <v>3232332.3952054013</v>
      </c>
      <c r="I38" s="216">
        <f t="shared" si="13"/>
        <v>165000</v>
      </c>
      <c r="J38" s="216">
        <f t="shared" si="13"/>
        <v>0</v>
      </c>
      <c r="K38" s="216">
        <f t="shared" si="13"/>
        <v>0</v>
      </c>
      <c r="L38" s="216">
        <f t="shared" si="13"/>
        <v>0</v>
      </c>
      <c r="M38" s="216">
        <f t="shared" si="13"/>
        <v>350371.37308376189</v>
      </c>
      <c r="N38" s="216">
        <f t="shared" si="13"/>
        <v>0</v>
      </c>
      <c r="O38" s="216">
        <f t="shared" si="13"/>
        <v>0</v>
      </c>
      <c r="P38" s="216">
        <f t="shared" si="13"/>
        <v>0</v>
      </c>
      <c r="Q38" s="216">
        <f t="shared" si="13"/>
        <v>0</v>
      </c>
      <c r="R38" s="535">
        <f ca="1">SUM(R29:R37)</f>
        <v>30014934</v>
      </c>
      <c r="S38" s="220">
        <f ca="1">SUM(S29:S37)</f>
        <v>30014934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480000</v>
      </c>
      <c r="C40" s="1626">
        <f>'[9]main spreadsheet'!$BO$37*0.8</f>
        <v>480000</v>
      </c>
      <c r="D40" s="217"/>
      <c r="E40" s="217">
        <f t="shared" ref="E40:E41" si="14">C40-SUM(F40:M40)</f>
        <v>0</v>
      </c>
      <c r="F40" s="217"/>
      <c r="G40" s="217"/>
      <c r="H40" s="217">
        <f>C40</f>
        <v>480000</v>
      </c>
      <c r="I40" s="217"/>
      <c r="J40" s="217"/>
      <c r="K40" s="217"/>
      <c r="L40" s="217"/>
      <c r="M40" s="217"/>
      <c r="N40" s="217"/>
      <c r="O40" s="217"/>
      <c r="P40" s="217"/>
      <c r="Q40" s="217"/>
      <c r="R40" s="809">
        <f>SUM(E40:Q40)</f>
        <v>480000</v>
      </c>
      <c r="S40" s="217">
        <f t="shared" ref="S40:S41" si="15">+R40</f>
        <v>480000</v>
      </c>
      <c r="T40" s="217"/>
      <c r="U40" s="213"/>
    </row>
    <row r="41" spans="1:21" s="214" customFormat="1">
      <c r="A41" s="215" t="s">
        <v>151</v>
      </c>
      <c r="B41" s="216">
        <f>SUM(C41+D41)</f>
        <v>120000</v>
      </c>
      <c r="C41" s="1626">
        <f>C40/4</f>
        <v>120000</v>
      </c>
      <c r="D41" s="217"/>
      <c r="E41" s="217">
        <f t="shared" si="14"/>
        <v>120000</v>
      </c>
      <c r="F41" s="217"/>
      <c r="G41" s="217"/>
      <c r="H41" s="217"/>
      <c r="I41" s="217"/>
      <c r="J41" s="217"/>
      <c r="K41" s="217"/>
      <c r="L41" s="217"/>
      <c r="M41" s="217"/>
      <c r="N41" s="217"/>
      <c r="O41" s="217"/>
      <c r="P41" s="217"/>
      <c r="Q41" s="217"/>
      <c r="R41" s="809">
        <f>SUM(E41:Q41)</f>
        <v>120000</v>
      </c>
      <c r="S41" s="217">
        <f t="shared" si="15"/>
        <v>120000</v>
      </c>
      <c r="T41" s="217"/>
      <c r="U41" s="213"/>
    </row>
    <row r="42" spans="1:21" s="214" customFormat="1">
      <c r="A42" s="219" t="s">
        <v>152</v>
      </c>
      <c r="B42" s="216">
        <f>SUM(C42:D42)</f>
        <v>600000</v>
      </c>
      <c r="C42" s="216">
        <f>SUM(C39:C41)</f>
        <v>600000</v>
      </c>
      <c r="D42" s="216">
        <f>SUM(D39:D41)</f>
        <v>0</v>
      </c>
      <c r="E42" s="216">
        <f t="shared" ref="E42:T42" si="16">SUM(E40:E41)</f>
        <v>120000</v>
      </c>
      <c r="F42" s="216">
        <f t="shared" si="16"/>
        <v>0</v>
      </c>
      <c r="G42" s="216">
        <f t="shared" si="16"/>
        <v>0</v>
      </c>
      <c r="H42" s="216">
        <f t="shared" si="16"/>
        <v>480000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5">
        <f>SUM(R40:R41)</f>
        <v>600000</v>
      </c>
      <c r="S42" s="220">
        <f t="shared" si="16"/>
        <v>600000</v>
      </c>
      <c r="T42" s="220">
        <f t="shared" si="16"/>
        <v>0</v>
      </c>
      <c r="U42" s="213"/>
    </row>
    <row r="43" spans="1:21" s="214" customFormat="1">
      <c r="A43" s="219" t="s">
        <v>153</v>
      </c>
      <c r="B43" s="216">
        <f>SUM(C43:D43)</f>
        <v>150000</v>
      </c>
      <c r="C43" s="1626">
        <f>'[9]main spreadsheet'!$BO$38</f>
        <v>150000</v>
      </c>
      <c r="D43" s="217"/>
      <c r="E43" s="217">
        <f t="shared" ref="E43" si="17">C43-SUM(F43:M43)</f>
        <v>0</v>
      </c>
      <c r="F43" s="217"/>
      <c r="G43" s="217"/>
      <c r="H43" s="217">
        <f>C43</f>
        <v>150000</v>
      </c>
      <c r="I43" s="217"/>
      <c r="J43" s="217"/>
      <c r="K43" s="217"/>
      <c r="L43" s="217"/>
      <c r="M43" s="217"/>
      <c r="N43" s="217"/>
      <c r="O43" s="217"/>
      <c r="P43" s="217"/>
      <c r="Q43" s="217"/>
      <c r="R43" s="809">
        <f>SUM(E43:Q43)</f>
        <v>150000</v>
      </c>
      <c r="S43" s="217">
        <f t="shared" ref="S43:S53" si="18">+R43</f>
        <v>150000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9">SUM(C45+D45)</f>
        <v>1102051.6047945987</v>
      </c>
      <c r="C45" s="217">
        <f>'[9]main spreadsheet'!$BO$47+'[9]main spreadsheet'!$BO$48</f>
        <v>1102051.6047945987</v>
      </c>
      <c r="D45" s="217"/>
      <c r="E45" s="217">
        <f t="shared" ref="E45:E53" si="20">C45-SUM(F45:M45)</f>
        <v>0</v>
      </c>
      <c r="F45" s="217"/>
      <c r="G45" s="217"/>
      <c r="H45" s="217">
        <f>C45</f>
        <v>1102051.6047945987</v>
      </c>
      <c r="I45" s="217"/>
      <c r="J45" s="217"/>
      <c r="K45" s="217"/>
      <c r="L45" s="217"/>
      <c r="M45" s="217"/>
      <c r="N45" s="217"/>
      <c r="O45" s="217"/>
      <c r="P45" s="217"/>
      <c r="Q45" s="217"/>
      <c r="R45" s="809">
        <f t="shared" ref="R45:R53" si="21">SUM(E45:Q45)</f>
        <v>1102051.6047945987</v>
      </c>
      <c r="S45" s="217">
        <f>'[9]main spreadsheet'!$BQ$47</f>
        <v>575381.38682395511</v>
      </c>
      <c r="T45" s="217"/>
      <c r="U45" s="213"/>
    </row>
    <row r="46" spans="1:21" s="214" customFormat="1">
      <c r="A46" s="215" t="s">
        <v>156</v>
      </c>
      <c r="B46" s="216">
        <f t="shared" si="19"/>
        <v>227420.48032076791</v>
      </c>
      <c r="C46" s="217">
        <f>'[9]main spreadsheet'!$BO$43+'[9]main spreadsheet'!$BW$40</f>
        <v>227420.48032076791</v>
      </c>
      <c r="D46" s="217"/>
      <c r="E46" s="217">
        <f t="shared" si="20"/>
        <v>227420.48032076791</v>
      </c>
      <c r="F46" s="217"/>
      <c r="G46" s="217"/>
      <c r="H46" s="217"/>
      <c r="I46" s="217"/>
      <c r="J46" s="217"/>
      <c r="K46" s="217"/>
      <c r="L46" s="217"/>
      <c r="M46" s="217"/>
      <c r="N46" s="217"/>
      <c r="O46" s="217"/>
      <c r="P46" s="217"/>
      <c r="Q46" s="217"/>
      <c r="R46" s="809">
        <f t="shared" si="21"/>
        <v>227420.48032076791</v>
      </c>
      <c r="S46" s="217"/>
      <c r="T46" s="217"/>
      <c r="U46" s="213"/>
    </row>
    <row r="47" spans="1:21" s="214" customFormat="1">
      <c r="A47" s="298" t="s">
        <v>157</v>
      </c>
      <c r="B47" s="216">
        <f t="shared" si="19"/>
        <v>0</v>
      </c>
      <c r="C47" s="217"/>
      <c r="D47" s="217"/>
      <c r="E47" s="217">
        <f t="shared" si="20"/>
        <v>0</v>
      </c>
      <c r="F47" s="217"/>
      <c r="G47" s="217"/>
      <c r="H47" s="217"/>
      <c r="I47" s="217"/>
      <c r="J47" s="217"/>
      <c r="K47" s="217"/>
      <c r="L47" s="217"/>
      <c r="M47" s="217"/>
      <c r="N47" s="217"/>
      <c r="O47" s="217"/>
      <c r="P47" s="217"/>
      <c r="Q47" s="217"/>
      <c r="R47" s="809">
        <f t="shared" si="21"/>
        <v>0</v>
      </c>
      <c r="S47" s="217">
        <f t="shared" si="18"/>
        <v>0</v>
      </c>
      <c r="T47" s="217"/>
      <c r="U47" s="213"/>
    </row>
    <row r="48" spans="1:21" s="214" customFormat="1">
      <c r="A48" s="215" t="s">
        <v>158</v>
      </c>
      <c r="B48" s="216">
        <f t="shared" si="19"/>
        <v>0</v>
      </c>
      <c r="C48" s="217"/>
      <c r="D48" s="217"/>
      <c r="E48" s="217">
        <f t="shared" si="20"/>
        <v>0</v>
      </c>
      <c r="F48" s="217"/>
      <c r="G48" s="217"/>
      <c r="H48" s="217"/>
      <c r="I48" s="217"/>
      <c r="J48" s="217"/>
      <c r="K48" s="217"/>
      <c r="L48" s="217"/>
      <c r="M48" s="217"/>
      <c r="N48" s="217"/>
      <c r="O48" s="217"/>
      <c r="P48" s="217"/>
      <c r="Q48" s="217"/>
      <c r="R48" s="809">
        <f t="shared" si="21"/>
        <v>0</v>
      </c>
      <c r="S48" s="217">
        <f t="shared" si="18"/>
        <v>0</v>
      </c>
      <c r="T48" s="217"/>
      <c r="U48" s="213"/>
    </row>
    <row r="49" spans="1:21" s="214" customFormat="1">
      <c r="A49" s="215" t="s">
        <v>60</v>
      </c>
      <c r="B49" s="216">
        <f t="shared" si="19"/>
        <v>154812.1280855381</v>
      </c>
      <c r="C49" s="217">
        <f>'[9]main spreadsheet'!$BW$42-'[9]main spreadsheet'!$BW$41-'[9]main spreadsheet'!$BW$40-'[9]main spreadsheet'!$BW$39-'[9]main spreadsheet'!$BW$38-'[9]main spreadsheet'!$BW$31-'[9]main spreadsheet'!$BW$30</f>
        <v>154812.1280855381</v>
      </c>
      <c r="D49" s="217"/>
      <c r="E49" s="217">
        <f t="shared" si="20"/>
        <v>154812.1280855381</v>
      </c>
      <c r="F49" s="217"/>
      <c r="G49" s="217"/>
      <c r="H49" s="217"/>
      <c r="I49" s="217"/>
      <c r="J49" s="217"/>
      <c r="K49" s="217"/>
      <c r="L49" s="217"/>
      <c r="M49" s="217"/>
      <c r="N49" s="217"/>
      <c r="O49" s="217"/>
      <c r="P49" s="217"/>
      <c r="Q49" s="217"/>
      <c r="R49" s="809">
        <f t="shared" si="21"/>
        <v>154812.1280855381</v>
      </c>
      <c r="S49" s="217"/>
      <c r="T49" s="217"/>
      <c r="U49" s="213"/>
    </row>
    <row r="50" spans="1:21" s="214" customFormat="1">
      <c r="A50" s="215" t="s">
        <v>161</v>
      </c>
      <c r="B50" s="216">
        <f t="shared" si="19"/>
        <v>50000</v>
      </c>
      <c r="C50" s="217">
        <f>'[9]main spreadsheet'!$BW$39</f>
        <v>50000</v>
      </c>
      <c r="D50" s="217"/>
      <c r="E50" s="217">
        <f t="shared" si="20"/>
        <v>50000</v>
      </c>
      <c r="F50" s="217"/>
      <c r="G50" s="217"/>
      <c r="H50" s="217"/>
      <c r="I50" s="217"/>
      <c r="J50" s="217"/>
      <c r="K50" s="217"/>
      <c r="L50" s="217"/>
      <c r="M50" s="217"/>
      <c r="N50" s="217"/>
      <c r="O50" s="217"/>
      <c r="P50" s="217"/>
      <c r="Q50" s="217"/>
      <c r="R50" s="809">
        <f t="shared" si="21"/>
        <v>50000</v>
      </c>
      <c r="S50" s="217"/>
      <c r="T50" s="217"/>
      <c r="U50" s="213"/>
    </row>
    <row r="51" spans="1:21" s="214" customFormat="1">
      <c r="A51" s="441" t="s">
        <v>159</v>
      </c>
      <c r="B51" s="216">
        <f t="shared" si="19"/>
        <v>32000</v>
      </c>
      <c r="C51" s="217">
        <f>'[9]main spreadsheet'!$BO$46</f>
        <v>32000</v>
      </c>
      <c r="D51" s="217"/>
      <c r="E51" s="217">
        <f t="shared" si="20"/>
        <v>32000</v>
      </c>
      <c r="F51" s="217"/>
      <c r="G51" s="217"/>
      <c r="H51" s="217"/>
      <c r="I51" s="217"/>
      <c r="J51" s="217"/>
      <c r="K51" s="217"/>
      <c r="L51" s="217"/>
      <c r="M51" s="217"/>
      <c r="N51" s="217"/>
      <c r="O51" s="217"/>
      <c r="P51" s="217"/>
      <c r="Q51" s="217"/>
      <c r="R51" s="809">
        <f t="shared" si="21"/>
        <v>32000</v>
      </c>
      <c r="S51" s="217">
        <f t="shared" si="18"/>
        <v>32000</v>
      </c>
      <c r="T51" s="217"/>
      <c r="U51" s="213"/>
    </row>
    <row r="52" spans="1:21" s="214" customFormat="1">
      <c r="A52" s="215" t="s">
        <v>160</v>
      </c>
      <c r="B52" s="216">
        <f t="shared" si="19"/>
        <v>150000</v>
      </c>
      <c r="C52" s="217">
        <f>'[9]main spreadsheet'!$BO$51</f>
        <v>150000</v>
      </c>
      <c r="D52" s="217"/>
      <c r="E52" s="217">
        <f t="shared" si="20"/>
        <v>150000</v>
      </c>
      <c r="F52" s="217"/>
      <c r="G52" s="217"/>
      <c r="H52" s="217"/>
      <c r="I52" s="217"/>
      <c r="J52" s="217"/>
      <c r="K52" s="217"/>
      <c r="L52" s="217"/>
      <c r="M52" s="217"/>
      <c r="N52" s="217"/>
      <c r="O52" s="217"/>
      <c r="P52" s="217"/>
      <c r="Q52" s="217"/>
      <c r="R52" s="809">
        <f t="shared" si="21"/>
        <v>150000</v>
      </c>
      <c r="S52" s="217">
        <f t="shared" si="18"/>
        <v>150000</v>
      </c>
      <c r="T52" s="217"/>
      <c r="U52" s="213"/>
    </row>
    <row r="53" spans="1:21" s="214" customFormat="1">
      <c r="A53" s="222" t="s">
        <v>35</v>
      </c>
      <c r="B53" s="216">
        <f t="shared" si="19"/>
        <v>0</v>
      </c>
      <c r="C53" s="217"/>
      <c r="D53" s="217"/>
      <c r="E53" s="217">
        <f t="shared" si="20"/>
        <v>0</v>
      </c>
      <c r="F53" s="217"/>
      <c r="G53" s="217"/>
      <c r="H53" s="217"/>
      <c r="I53" s="217"/>
      <c r="J53" s="217"/>
      <c r="K53" s="217"/>
      <c r="L53" s="217"/>
      <c r="M53" s="217"/>
      <c r="N53" s="217"/>
      <c r="O53" s="217"/>
      <c r="P53" s="217"/>
      <c r="Q53" s="217"/>
      <c r="R53" s="809">
        <f t="shared" si="21"/>
        <v>0</v>
      </c>
      <c r="S53" s="217">
        <f t="shared" si="18"/>
        <v>0</v>
      </c>
      <c r="T53" s="217"/>
      <c r="U53" s="213"/>
    </row>
    <row r="54" spans="1:21" s="224" customFormat="1">
      <c r="A54" s="219" t="s">
        <v>162</v>
      </c>
      <c r="B54" s="220">
        <f>SUM(C54:D54)</f>
        <v>1716284.2132009047</v>
      </c>
      <c r="C54" s="220">
        <f t="shared" ref="C54:T54" si="22">SUM(C45:C53)</f>
        <v>1716284.2132009047</v>
      </c>
      <c r="D54" s="220">
        <f t="shared" si="22"/>
        <v>0</v>
      </c>
      <c r="E54" s="220">
        <f t="shared" si="22"/>
        <v>614232.60840630601</v>
      </c>
      <c r="F54" s="220">
        <f t="shared" si="22"/>
        <v>0</v>
      </c>
      <c r="G54" s="220">
        <f t="shared" si="22"/>
        <v>0</v>
      </c>
      <c r="H54" s="220">
        <f t="shared" si="22"/>
        <v>1102051.6047945987</v>
      </c>
      <c r="I54" s="220">
        <f t="shared" si="22"/>
        <v>0</v>
      </c>
      <c r="J54" s="220">
        <f t="shared" si="22"/>
        <v>0</v>
      </c>
      <c r="K54" s="220">
        <f t="shared" si="22"/>
        <v>0</v>
      </c>
      <c r="L54" s="220">
        <f t="shared" si="22"/>
        <v>0</v>
      </c>
      <c r="M54" s="220">
        <f t="shared" si="22"/>
        <v>0</v>
      </c>
      <c r="N54" s="220">
        <f t="shared" si="22"/>
        <v>0</v>
      </c>
      <c r="O54" s="220">
        <f t="shared" si="22"/>
        <v>0</v>
      </c>
      <c r="P54" s="220">
        <f t="shared" si="22"/>
        <v>0</v>
      </c>
      <c r="Q54" s="220">
        <f t="shared" si="22"/>
        <v>0</v>
      </c>
      <c r="R54" s="535">
        <f t="shared" si="22"/>
        <v>1716284.2132009047</v>
      </c>
      <c r="S54" s="220">
        <f t="shared" si="22"/>
        <v>757381.38682395511</v>
      </c>
      <c r="T54" s="220">
        <f t="shared" si="2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3">SUM(C56+D56)</f>
        <v>204921.32</v>
      </c>
      <c r="C56" s="217">
        <f>'[9]main spreadsheet'!$BW$41</f>
        <v>204921.32</v>
      </c>
      <c r="D56" s="217"/>
      <c r="E56" s="217">
        <f t="shared" ref="E56:E61" si="24">C56-SUM(F56:M56)</f>
        <v>204921.32</v>
      </c>
      <c r="F56" s="217"/>
      <c r="G56" s="217"/>
      <c r="H56" s="217"/>
      <c r="I56" s="217"/>
      <c r="J56" s="217"/>
      <c r="K56" s="217"/>
      <c r="L56" s="217"/>
      <c r="M56" s="217"/>
      <c r="N56" s="217"/>
      <c r="O56" s="217"/>
      <c r="P56" s="217"/>
      <c r="Q56" s="217"/>
      <c r="R56" s="809">
        <f t="shared" ref="R56:R61" si="25">SUM(E56:Q56)</f>
        <v>204921.32</v>
      </c>
      <c r="S56" s="218"/>
      <c r="T56" s="218"/>
      <c r="U56" s="213"/>
    </row>
    <row r="57" spans="1:21" s="304" customFormat="1">
      <c r="A57" s="298" t="s">
        <v>157</v>
      </c>
      <c r="B57" s="305">
        <f t="shared" si="23"/>
        <v>0</v>
      </c>
      <c r="C57" s="302"/>
      <c r="D57" s="302"/>
      <c r="E57" s="217">
        <f t="shared" si="24"/>
        <v>0</v>
      </c>
      <c r="F57" s="302"/>
      <c r="G57" s="302"/>
      <c r="H57" s="302"/>
      <c r="I57" s="302"/>
      <c r="J57" s="302"/>
      <c r="K57" s="302"/>
      <c r="L57" s="302"/>
      <c r="M57" s="302"/>
      <c r="N57" s="302"/>
      <c r="O57" s="302"/>
      <c r="P57" s="302"/>
      <c r="Q57" s="302"/>
      <c r="R57" s="809">
        <f t="shared" si="25"/>
        <v>0</v>
      </c>
      <c r="S57" s="306"/>
      <c r="T57" s="306"/>
      <c r="U57" s="303"/>
    </row>
    <row r="58" spans="1:21" s="214" customFormat="1">
      <c r="A58" s="215" t="s">
        <v>161</v>
      </c>
      <c r="B58" s="216">
        <f t="shared" si="23"/>
        <v>10000</v>
      </c>
      <c r="C58" s="217">
        <f>'[9]main spreadsheet'!$BO$59</f>
        <v>10000</v>
      </c>
      <c r="D58" s="217"/>
      <c r="E58" s="217">
        <f t="shared" si="24"/>
        <v>10000</v>
      </c>
      <c r="F58" s="217"/>
      <c r="G58" s="217"/>
      <c r="H58" s="217"/>
      <c r="I58" s="217"/>
      <c r="J58" s="217"/>
      <c r="K58" s="217"/>
      <c r="L58" s="217"/>
      <c r="M58" s="217"/>
      <c r="N58" s="217"/>
      <c r="O58" s="217"/>
      <c r="P58" s="217"/>
      <c r="Q58" s="217"/>
      <c r="R58" s="809">
        <f t="shared" si="25"/>
        <v>10000</v>
      </c>
      <c r="S58" s="218"/>
      <c r="T58" s="218"/>
      <c r="U58" s="213"/>
    </row>
    <row r="59" spans="1:21" s="214" customFormat="1">
      <c r="A59" s="441" t="s">
        <v>159</v>
      </c>
      <c r="B59" s="216">
        <f t="shared" si="23"/>
        <v>0</v>
      </c>
      <c r="C59" s="217"/>
      <c r="D59" s="217"/>
      <c r="E59" s="217">
        <f t="shared" si="24"/>
        <v>0</v>
      </c>
      <c r="F59" s="217"/>
      <c r="G59" s="217"/>
      <c r="H59" s="217"/>
      <c r="I59" s="217"/>
      <c r="J59" s="217"/>
      <c r="K59" s="217"/>
      <c r="L59" s="217"/>
      <c r="M59" s="217"/>
      <c r="N59" s="217"/>
      <c r="O59" s="217"/>
      <c r="P59" s="217"/>
      <c r="Q59" s="217"/>
      <c r="R59" s="809">
        <f t="shared" si="25"/>
        <v>0</v>
      </c>
      <c r="S59" s="218"/>
      <c r="T59" s="218"/>
      <c r="U59" s="213"/>
    </row>
    <row r="60" spans="1:21" s="214" customFormat="1">
      <c r="A60" s="215" t="s">
        <v>160</v>
      </c>
      <c r="B60" s="216">
        <f t="shared" si="23"/>
        <v>0</v>
      </c>
      <c r="C60" s="217"/>
      <c r="D60" s="217"/>
      <c r="E60" s="217">
        <f t="shared" si="24"/>
        <v>0</v>
      </c>
      <c r="F60" s="217"/>
      <c r="G60" s="217"/>
      <c r="H60" s="217"/>
      <c r="I60" s="217"/>
      <c r="J60" s="217"/>
      <c r="K60" s="217"/>
      <c r="L60" s="217"/>
      <c r="M60" s="217"/>
      <c r="N60" s="217"/>
      <c r="O60" s="217"/>
      <c r="P60" s="217"/>
      <c r="Q60" s="217"/>
      <c r="R60" s="809">
        <f t="shared" si="25"/>
        <v>0</v>
      </c>
      <c r="S60" s="218"/>
      <c r="T60" s="218"/>
      <c r="U60" s="213"/>
    </row>
    <row r="61" spans="1:21" s="214" customFormat="1">
      <c r="A61" s="222" t="s">
        <v>2573</v>
      </c>
      <c r="B61" s="216">
        <f t="shared" si="23"/>
        <v>10000</v>
      </c>
      <c r="C61" s="217">
        <f>'[9]main spreadsheet'!$BO$58</f>
        <v>10000</v>
      </c>
      <c r="D61" s="217"/>
      <c r="E61" s="217">
        <f t="shared" si="24"/>
        <v>10000</v>
      </c>
      <c r="F61" s="217"/>
      <c r="G61" s="217"/>
      <c r="H61" s="217"/>
      <c r="I61" s="217"/>
      <c r="J61" s="217"/>
      <c r="K61" s="217"/>
      <c r="L61" s="217"/>
      <c r="M61" s="217"/>
      <c r="N61" s="217"/>
      <c r="O61" s="217"/>
      <c r="P61" s="217"/>
      <c r="Q61" s="217"/>
      <c r="R61" s="809">
        <f t="shared" si="25"/>
        <v>10000</v>
      </c>
      <c r="S61" s="218"/>
      <c r="T61" s="218"/>
      <c r="U61" s="213"/>
    </row>
    <row r="62" spans="1:21" s="214" customFormat="1" ht="13.9" customHeight="1">
      <c r="A62" s="219" t="s">
        <v>311</v>
      </c>
      <c r="B62" s="216">
        <f>SUM(C62:D62)</f>
        <v>224921.32</v>
      </c>
      <c r="C62" s="216">
        <f t="shared" ref="C62:R62" si="26">SUM(C56:C61)</f>
        <v>224921.32</v>
      </c>
      <c r="D62" s="216">
        <f t="shared" si="26"/>
        <v>0</v>
      </c>
      <c r="E62" s="216">
        <f t="shared" si="26"/>
        <v>224921.32</v>
      </c>
      <c r="F62" s="216">
        <f t="shared" si="26"/>
        <v>0</v>
      </c>
      <c r="G62" s="216">
        <f t="shared" si="26"/>
        <v>0</v>
      </c>
      <c r="H62" s="216">
        <f t="shared" si="26"/>
        <v>0</v>
      </c>
      <c r="I62" s="216">
        <f t="shared" si="26"/>
        <v>0</v>
      </c>
      <c r="J62" s="216">
        <f t="shared" si="26"/>
        <v>0</v>
      </c>
      <c r="K62" s="216">
        <f t="shared" si="26"/>
        <v>0</v>
      </c>
      <c r="L62" s="216">
        <f t="shared" si="26"/>
        <v>0</v>
      </c>
      <c r="M62" s="216">
        <f t="shared" si="26"/>
        <v>0</v>
      </c>
      <c r="N62" s="216">
        <f t="shared" si="26"/>
        <v>0</v>
      </c>
      <c r="O62" s="216">
        <f t="shared" si="26"/>
        <v>0</v>
      </c>
      <c r="P62" s="216">
        <f t="shared" si="26"/>
        <v>0</v>
      </c>
      <c r="Q62" s="216">
        <f t="shared" si="26"/>
        <v>0</v>
      </c>
      <c r="R62" s="535">
        <f t="shared" si="26"/>
        <v>224921.32</v>
      </c>
      <c r="S62" s="218"/>
      <c r="T62" s="218"/>
      <c r="U62" s="213"/>
    </row>
    <row r="63" spans="1:21" s="214" customFormat="1">
      <c r="A63" s="225" t="s">
        <v>312</v>
      </c>
      <c r="B63" s="216">
        <f t="shared" ref="B63:R63" ca="1" si="27">SUM(B8+B11+B13+B14+B15+B26+B27+B38+B42+B43+B54+B62)</f>
        <v>36161139.533200905</v>
      </c>
      <c r="C63" s="216">
        <f t="shared" ca="1" si="27"/>
        <v>36161139.533200905</v>
      </c>
      <c r="D63" s="216">
        <f t="shared" si="27"/>
        <v>0</v>
      </c>
      <c r="E63" s="216">
        <f t="shared" ca="1" si="27"/>
        <v>11756841.160117142</v>
      </c>
      <c r="F63" s="216">
        <f t="shared" si="27"/>
        <v>10146800</v>
      </c>
      <c r="G63" s="216">
        <f t="shared" si="27"/>
        <v>5477743</v>
      </c>
      <c r="H63" s="216">
        <f t="shared" si="27"/>
        <v>4964384</v>
      </c>
      <c r="I63" s="216">
        <f t="shared" si="27"/>
        <v>165000</v>
      </c>
      <c r="J63" s="216">
        <f t="shared" si="27"/>
        <v>3300000</v>
      </c>
      <c r="K63" s="216">
        <f t="shared" si="27"/>
        <v>0</v>
      </c>
      <c r="L63" s="216">
        <f t="shared" si="27"/>
        <v>0</v>
      </c>
      <c r="M63" s="216">
        <f t="shared" si="27"/>
        <v>350371.37308376189</v>
      </c>
      <c r="N63" s="216">
        <f t="shared" si="27"/>
        <v>0</v>
      </c>
      <c r="O63" s="216">
        <f t="shared" si="27"/>
        <v>0</v>
      </c>
      <c r="P63" s="216">
        <f t="shared" si="27"/>
        <v>0</v>
      </c>
      <c r="Q63" s="216">
        <f t="shared" si="27"/>
        <v>0</v>
      </c>
      <c r="R63" s="535">
        <f t="shared" ca="1" si="27"/>
        <v>36161139.533200905</v>
      </c>
      <c r="S63" s="216">
        <f ca="1">SUM(S10+S13+S14+S15+S26+S27+S38+S42+S43+S54)</f>
        <v>31562315.386823956</v>
      </c>
      <c r="T63" s="216">
        <f>SUM(T11+T13+T14+T15+T26+T27+T38+T42+T43+T54)</f>
        <v>0</v>
      </c>
      <c r="U63" s="213"/>
    </row>
    <row r="64" spans="1:21" s="214" customFormat="1" ht="24">
      <c r="A64" s="211" t="s">
        <v>2016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80000</v>
      </c>
      <c r="C65" s="217">
        <f>'[9]main spreadsheet'!$BW$30+'[9]main spreadsheet'!$BW$31</f>
        <v>80000</v>
      </c>
      <c r="D65" s="217"/>
      <c r="E65" s="217">
        <f t="shared" ref="E65:E69" si="28">C65-SUM(F65:M65)</f>
        <v>80000</v>
      </c>
      <c r="F65" s="217"/>
      <c r="G65" s="217"/>
      <c r="H65" s="217"/>
      <c r="I65" s="217"/>
      <c r="J65" s="217"/>
      <c r="K65" s="217"/>
      <c r="L65" s="217"/>
      <c r="M65" s="217"/>
      <c r="N65" s="217"/>
      <c r="O65" s="217"/>
      <c r="P65" s="217"/>
      <c r="Q65" s="217"/>
      <c r="R65" s="809">
        <f>SUM(E65:Q65)</f>
        <v>80000</v>
      </c>
      <c r="S65" s="217"/>
      <c r="T65" s="217"/>
      <c r="U65" s="213"/>
    </row>
    <row r="66" spans="1:21" s="214" customFormat="1" ht="24" customHeight="1">
      <c r="A66" s="441" t="s">
        <v>2013</v>
      </c>
      <c r="B66" s="216"/>
      <c r="C66" s="217"/>
      <c r="D66" s="217"/>
      <c r="E66" s="217">
        <f t="shared" si="28"/>
        <v>0</v>
      </c>
      <c r="F66" s="217"/>
      <c r="G66" s="217"/>
      <c r="H66" s="217"/>
      <c r="I66" s="217"/>
      <c r="J66" s="217"/>
      <c r="K66" s="217"/>
      <c r="L66" s="217"/>
      <c r="M66" s="217"/>
      <c r="N66" s="217"/>
      <c r="O66" s="217"/>
      <c r="P66" s="217"/>
      <c r="Q66" s="217"/>
      <c r="R66" s="809">
        <f t="shared" ref="R66:R68" si="29">SUM(E66:Q66)</f>
        <v>0</v>
      </c>
      <c r="S66" s="217">
        <f t="shared" ref="S66:S68" si="30">+R66</f>
        <v>0</v>
      </c>
      <c r="T66" s="217"/>
      <c r="U66" s="213"/>
    </row>
    <row r="67" spans="1:21" s="214" customFormat="1" ht="24" customHeight="1">
      <c r="A67" s="441" t="s">
        <v>2014</v>
      </c>
      <c r="B67" s="216"/>
      <c r="C67" s="217"/>
      <c r="D67" s="217"/>
      <c r="E67" s="217">
        <f t="shared" si="28"/>
        <v>0</v>
      </c>
      <c r="F67" s="217"/>
      <c r="G67" s="217"/>
      <c r="H67" s="217"/>
      <c r="I67" s="217"/>
      <c r="J67" s="217"/>
      <c r="K67" s="217"/>
      <c r="L67" s="217"/>
      <c r="M67" s="217"/>
      <c r="N67" s="217"/>
      <c r="O67" s="217"/>
      <c r="P67" s="217"/>
      <c r="Q67" s="217"/>
      <c r="R67" s="809">
        <f t="shared" si="29"/>
        <v>0</v>
      </c>
      <c r="S67" s="217">
        <f t="shared" si="30"/>
        <v>0</v>
      </c>
      <c r="T67" s="217"/>
      <c r="U67" s="213"/>
    </row>
    <row r="68" spans="1:21" s="214" customFormat="1" ht="12" customHeight="1">
      <c r="A68" s="441" t="s">
        <v>2020</v>
      </c>
      <c r="B68" s="216"/>
      <c r="C68" s="217"/>
      <c r="D68" s="217"/>
      <c r="E68" s="217">
        <f t="shared" si="28"/>
        <v>0</v>
      </c>
      <c r="F68" s="217"/>
      <c r="G68" s="217"/>
      <c r="H68" s="217"/>
      <c r="I68" s="217"/>
      <c r="J68" s="217"/>
      <c r="K68" s="217"/>
      <c r="L68" s="217"/>
      <c r="M68" s="217"/>
      <c r="N68" s="217"/>
      <c r="O68" s="217"/>
      <c r="P68" s="217"/>
      <c r="Q68" s="217"/>
      <c r="R68" s="809">
        <f t="shared" si="29"/>
        <v>0</v>
      </c>
      <c r="S68" s="217">
        <f t="shared" si="30"/>
        <v>0</v>
      </c>
      <c r="T68" s="217"/>
      <c r="U68" s="213"/>
    </row>
    <row r="69" spans="1:21" s="214" customFormat="1">
      <c r="A69" s="1684" t="s">
        <v>2470</v>
      </c>
      <c r="B69" s="216">
        <f>SUM(C69+D69)</f>
        <v>90000</v>
      </c>
      <c r="C69" s="217">
        <f>'[9]main spreadsheet'!$BW$38+'[9]main spreadsheet'!$BO$56</f>
        <v>90000</v>
      </c>
      <c r="D69" s="217"/>
      <c r="E69" s="217">
        <f t="shared" si="28"/>
        <v>90000</v>
      </c>
      <c r="F69" s="217"/>
      <c r="G69" s="217"/>
      <c r="H69" s="217"/>
      <c r="I69" s="217"/>
      <c r="J69" s="217"/>
      <c r="K69" s="217"/>
      <c r="L69" s="217"/>
      <c r="M69" s="217"/>
      <c r="N69" s="217"/>
      <c r="O69" s="217"/>
      <c r="P69" s="217"/>
      <c r="Q69" s="217"/>
      <c r="R69" s="809">
        <f>SUM(E69:Q69)</f>
        <v>90000</v>
      </c>
      <c r="S69" s="217">
        <f>'[9]main spreadsheet'!$BQ$56</f>
        <v>40000</v>
      </c>
      <c r="T69" s="217"/>
      <c r="U69" s="213"/>
    </row>
    <row r="70" spans="1:21" s="214" customFormat="1">
      <c r="A70" s="219" t="s">
        <v>2017</v>
      </c>
      <c r="B70" s="216">
        <f>SUM(C70:D70)</f>
        <v>170000</v>
      </c>
      <c r="C70" s="216">
        <f>SUM(C65:C69)</f>
        <v>170000</v>
      </c>
      <c r="D70" s="216">
        <f>SUM(D65:D69)</f>
        <v>0</v>
      </c>
      <c r="E70" s="216">
        <f t="shared" ref="E70:T70" si="31">SUM(E65:E69)</f>
        <v>170000</v>
      </c>
      <c r="F70" s="216">
        <f t="shared" si="31"/>
        <v>0</v>
      </c>
      <c r="G70" s="216">
        <f t="shared" si="31"/>
        <v>0</v>
      </c>
      <c r="H70" s="216">
        <f t="shared" si="31"/>
        <v>0</v>
      </c>
      <c r="I70" s="216">
        <f t="shared" si="31"/>
        <v>0</v>
      </c>
      <c r="J70" s="216">
        <f t="shared" si="31"/>
        <v>0</v>
      </c>
      <c r="K70" s="216">
        <f t="shared" si="31"/>
        <v>0</v>
      </c>
      <c r="L70" s="216">
        <f t="shared" si="31"/>
        <v>0</v>
      </c>
      <c r="M70" s="216">
        <f t="shared" si="31"/>
        <v>0</v>
      </c>
      <c r="N70" s="216">
        <f t="shared" si="31"/>
        <v>0</v>
      </c>
      <c r="O70" s="216">
        <f t="shared" si="31"/>
        <v>0</v>
      </c>
      <c r="P70" s="216">
        <f t="shared" si="31"/>
        <v>0</v>
      </c>
      <c r="Q70" s="216">
        <f t="shared" si="31"/>
        <v>0</v>
      </c>
      <c r="R70" s="535">
        <f t="shared" si="31"/>
        <v>170000</v>
      </c>
      <c r="S70" s="220">
        <f t="shared" si="31"/>
        <v>40000</v>
      </c>
      <c r="T70" s="220">
        <f t="shared" si="31"/>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f t="shared" ref="E72:E76" si="32">C72-SUM(F72:M72)</f>
        <v>0</v>
      </c>
      <c r="F72" s="217"/>
      <c r="G72" s="217"/>
      <c r="H72" s="217"/>
      <c r="I72" s="217"/>
      <c r="J72" s="217"/>
      <c r="K72" s="217"/>
      <c r="L72" s="217"/>
      <c r="M72" s="217"/>
      <c r="N72" s="217"/>
      <c r="O72" s="217"/>
      <c r="P72" s="217"/>
      <c r="Q72" s="217"/>
      <c r="R72" s="809">
        <f>SUM(E72:Q72)</f>
        <v>0</v>
      </c>
      <c r="S72" s="218"/>
      <c r="T72" s="218"/>
      <c r="U72" s="213"/>
    </row>
    <row r="73" spans="1:21" s="214" customFormat="1">
      <c r="A73" s="215" t="s">
        <v>641</v>
      </c>
      <c r="B73" s="216">
        <f>SUM(C73+D73)</f>
        <v>0</v>
      </c>
      <c r="C73" s="217"/>
      <c r="D73" s="217"/>
      <c r="E73" s="217">
        <f t="shared" si="32"/>
        <v>0</v>
      </c>
      <c r="F73" s="217"/>
      <c r="G73" s="217"/>
      <c r="H73" s="217"/>
      <c r="I73" s="217"/>
      <c r="J73" s="217"/>
      <c r="K73" s="217"/>
      <c r="L73" s="217"/>
      <c r="M73" s="217"/>
      <c r="N73" s="217"/>
      <c r="O73" s="217"/>
      <c r="P73" s="217"/>
      <c r="Q73" s="217"/>
      <c r="R73" s="809">
        <f>SUM(E73:Q73)</f>
        <v>0</v>
      </c>
      <c r="S73" s="218"/>
      <c r="T73" s="218"/>
      <c r="U73" s="213"/>
    </row>
    <row r="74" spans="1:21" s="214" customFormat="1">
      <c r="A74" s="739" t="s">
        <v>1090</v>
      </c>
      <c r="B74" s="216">
        <f>SUM(C74+D74)</f>
        <v>0</v>
      </c>
      <c r="C74" s="217"/>
      <c r="D74" s="217"/>
      <c r="E74" s="217">
        <f t="shared" si="32"/>
        <v>0</v>
      </c>
      <c r="F74" s="217"/>
      <c r="G74" s="217"/>
      <c r="H74" s="217"/>
      <c r="I74" s="217"/>
      <c r="J74" s="217"/>
      <c r="K74" s="217"/>
      <c r="L74" s="217"/>
      <c r="M74" s="217"/>
      <c r="N74" s="217"/>
      <c r="O74" s="217"/>
      <c r="P74" s="217"/>
      <c r="Q74" s="217"/>
      <c r="R74" s="809">
        <f>SUM(E74:Q74)</f>
        <v>0</v>
      </c>
      <c r="S74" s="218"/>
      <c r="T74" s="218"/>
      <c r="U74" s="213"/>
    </row>
    <row r="75" spans="1:21" s="214" customFormat="1">
      <c r="A75" s="215" t="s">
        <v>642</v>
      </c>
      <c r="B75" s="216">
        <f>SUM(C75+D75)</f>
        <v>545840</v>
      </c>
      <c r="C75" s="217">
        <f>'[9]main spreadsheet'!$BO$64</f>
        <v>545840</v>
      </c>
      <c r="D75" s="217"/>
      <c r="E75" s="217">
        <f t="shared" si="32"/>
        <v>545840</v>
      </c>
      <c r="F75" s="217"/>
      <c r="G75" s="217"/>
      <c r="H75" s="217"/>
      <c r="I75" s="217"/>
      <c r="J75" s="217"/>
      <c r="K75" s="217"/>
      <c r="L75" s="217"/>
      <c r="M75" s="217"/>
      <c r="N75" s="217"/>
      <c r="O75" s="217"/>
      <c r="P75" s="217"/>
      <c r="Q75" s="217"/>
      <c r="R75" s="809">
        <f>SUM(E75:Q75)</f>
        <v>545840</v>
      </c>
      <c r="S75" s="218"/>
      <c r="T75" s="218"/>
      <c r="U75" s="213"/>
    </row>
    <row r="76" spans="1:21" s="214" customFormat="1">
      <c r="A76" s="222" t="s">
        <v>35</v>
      </c>
      <c r="B76" s="216">
        <f>SUM(C76+D76)</f>
        <v>0</v>
      </c>
      <c r="C76" s="217"/>
      <c r="D76" s="217"/>
      <c r="E76" s="217">
        <f t="shared" si="32"/>
        <v>0</v>
      </c>
      <c r="F76" s="217"/>
      <c r="G76" s="217"/>
      <c r="H76" s="217"/>
      <c r="I76" s="217"/>
      <c r="J76" s="217"/>
      <c r="K76" s="217"/>
      <c r="L76" s="217"/>
      <c r="M76" s="217"/>
      <c r="N76" s="217"/>
      <c r="O76" s="217"/>
      <c r="P76" s="217"/>
      <c r="Q76" s="217"/>
      <c r="R76" s="809">
        <f>SUM(E76:Q76)</f>
        <v>0</v>
      </c>
      <c r="S76" s="218"/>
      <c r="T76" s="218"/>
      <c r="U76" s="213"/>
    </row>
    <row r="77" spans="1:21" s="214" customFormat="1">
      <c r="A77" s="219" t="s">
        <v>643</v>
      </c>
      <c r="B77" s="216">
        <f>SUM(C77:D77)</f>
        <v>545840</v>
      </c>
      <c r="C77" s="216">
        <f>SUM(C72:C76)</f>
        <v>545840</v>
      </c>
      <c r="D77" s="216">
        <f>SUM(D72:D76)</f>
        <v>0</v>
      </c>
      <c r="E77" s="216">
        <f t="shared" ref="E77:Q77" si="33">SUM(E72:E76)</f>
        <v>545840</v>
      </c>
      <c r="F77" s="216">
        <f t="shared" si="33"/>
        <v>0</v>
      </c>
      <c r="G77" s="216">
        <f t="shared" si="33"/>
        <v>0</v>
      </c>
      <c r="H77" s="216">
        <f t="shared" si="33"/>
        <v>0</v>
      </c>
      <c r="I77" s="216">
        <f t="shared" si="33"/>
        <v>0</v>
      </c>
      <c r="J77" s="216">
        <f t="shared" si="33"/>
        <v>0</v>
      </c>
      <c r="K77" s="216">
        <f t="shared" si="33"/>
        <v>0</v>
      </c>
      <c r="L77" s="216">
        <f t="shared" si="33"/>
        <v>0</v>
      </c>
      <c r="M77" s="216">
        <f t="shared" si="33"/>
        <v>0</v>
      </c>
      <c r="N77" s="216">
        <f t="shared" si="33"/>
        <v>0</v>
      </c>
      <c r="O77" s="216">
        <f t="shared" si="33"/>
        <v>0</v>
      </c>
      <c r="P77" s="216">
        <f t="shared" si="33"/>
        <v>0</v>
      </c>
      <c r="Q77" s="216">
        <f t="shared" si="33"/>
        <v>0</v>
      </c>
      <c r="R77" s="535">
        <f>SUM(R72:R76)</f>
        <v>545840</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1953570.71</v>
      </c>
      <c r="C79" s="1626">
        <f>'[9]main spreadsheet'!$BO$34</f>
        <v>1953570.71</v>
      </c>
      <c r="D79" s="217"/>
      <c r="E79" s="217">
        <f t="shared" ref="E79:E80" si="34">C79-SUM(F79:M79)</f>
        <v>1493827.2803872144</v>
      </c>
      <c r="F79" s="217"/>
      <c r="G79" s="217"/>
      <c r="H79" s="217"/>
      <c r="I79" s="217"/>
      <c r="J79" s="217"/>
      <c r="K79" s="217"/>
      <c r="L79" s="217">
        <f>Application!AO643</f>
        <v>459743.42961278558</v>
      </c>
      <c r="M79" s="217"/>
      <c r="N79" s="217"/>
      <c r="O79" s="217"/>
      <c r="P79" s="217"/>
      <c r="Q79" s="217"/>
      <c r="R79" s="809">
        <f>SUM(E79:Q79)</f>
        <v>1953570.71</v>
      </c>
      <c r="S79" s="217">
        <f t="shared" ref="S79:S80" si="35">+R79</f>
        <v>1953570.71</v>
      </c>
      <c r="T79" s="217"/>
      <c r="U79" s="213"/>
    </row>
    <row r="80" spans="1:21" s="214" customFormat="1">
      <c r="A80" s="441" t="s">
        <v>61</v>
      </c>
      <c r="B80" s="216">
        <f>SUM(C80:D80)</f>
        <v>200000</v>
      </c>
      <c r="C80" s="217">
        <f>'[9]main spreadsheet'!$BO$41</f>
        <v>200000</v>
      </c>
      <c r="D80" s="217"/>
      <c r="E80" s="217">
        <f t="shared" si="34"/>
        <v>200000</v>
      </c>
      <c r="F80" s="217"/>
      <c r="G80" s="217"/>
      <c r="H80" s="217"/>
      <c r="I80" s="217"/>
      <c r="J80" s="217"/>
      <c r="K80" s="217"/>
      <c r="L80" s="217"/>
      <c r="M80" s="217"/>
      <c r="N80" s="217"/>
      <c r="O80" s="217"/>
      <c r="P80" s="217"/>
      <c r="Q80" s="217"/>
      <c r="R80" s="809">
        <f>SUM(E80:Q80)</f>
        <v>200000</v>
      </c>
      <c r="S80" s="217">
        <f t="shared" si="35"/>
        <v>200000</v>
      </c>
      <c r="T80" s="217"/>
      <c r="U80" s="213"/>
    </row>
    <row r="81" spans="1:21" s="214" customFormat="1">
      <c r="A81" s="219" t="s">
        <v>1427</v>
      </c>
      <c r="B81" s="216">
        <f>SUM(C81:D81)</f>
        <v>2153570.71</v>
      </c>
      <c r="C81" s="790">
        <f>SUM(C79:C80)</f>
        <v>2153570.71</v>
      </c>
      <c r="D81" s="790">
        <f t="shared" ref="D81:T81" si="36">SUM(D79:D80)</f>
        <v>0</v>
      </c>
      <c r="E81" s="790">
        <f t="shared" si="36"/>
        <v>1693827.2803872144</v>
      </c>
      <c r="F81" s="790">
        <f t="shared" si="36"/>
        <v>0</v>
      </c>
      <c r="G81" s="790">
        <f t="shared" si="36"/>
        <v>0</v>
      </c>
      <c r="H81" s="790">
        <f t="shared" si="36"/>
        <v>0</v>
      </c>
      <c r="I81" s="790">
        <f t="shared" si="36"/>
        <v>0</v>
      </c>
      <c r="J81" s="790">
        <f t="shared" si="36"/>
        <v>0</v>
      </c>
      <c r="K81" s="790">
        <f t="shared" si="36"/>
        <v>0</v>
      </c>
      <c r="L81" s="790">
        <f t="shared" si="36"/>
        <v>459743.42961278558</v>
      </c>
      <c r="M81" s="790">
        <f t="shared" si="36"/>
        <v>0</v>
      </c>
      <c r="N81" s="790">
        <f t="shared" si="36"/>
        <v>0</v>
      </c>
      <c r="O81" s="790">
        <f t="shared" si="36"/>
        <v>0</v>
      </c>
      <c r="P81" s="790">
        <f t="shared" si="36"/>
        <v>0</v>
      </c>
      <c r="Q81" s="790">
        <f t="shared" si="36"/>
        <v>0</v>
      </c>
      <c r="R81" s="790">
        <f t="shared" si="36"/>
        <v>2153570.71</v>
      </c>
      <c r="S81" s="790">
        <f t="shared" si="36"/>
        <v>2153570.71</v>
      </c>
      <c r="T81" s="790">
        <f t="shared" si="36"/>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9" customHeight="1">
      <c r="A83" s="215" t="s">
        <v>828</v>
      </c>
      <c r="B83" s="216">
        <f t="shared" ref="B83:B95" si="37">SUM(C83+D83)</f>
        <v>49347.944111608689</v>
      </c>
      <c r="C83" s="217">
        <f>'[9]main spreadsheet'!$BO$54</f>
        <v>49347.944111608689</v>
      </c>
      <c r="D83" s="217"/>
      <c r="E83" s="217">
        <f t="shared" ref="E83:E95" si="38">C83-SUM(F83:M83)</f>
        <v>49347.944111608689</v>
      </c>
      <c r="F83" s="217"/>
      <c r="G83" s="217"/>
      <c r="H83" s="217"/>
      <c r="I83" s="217"/>
      <c r="J83" s="217"/>
      <c r="K83" s="217"/>
      <c r="L83" s="217"/>
      <c r="M83" s="217"/>
      <c r="N83" s="217"/>
      <c r="O83" s="217"/>
      <c r="P83" s="217"/>
      <c r="Q83" s="217"/>
      <c r="R83" s="809">
        <f t="shared" ref="R83:R95" si="39">SUM(E83:Q83)</f>
        <v>49347.944111608689</v>
      </c>
      <c r="S83" s="218"/>
      <c r="T83" s="218"/>
      <c r="U83" s="213"/>
    </row>
    <row r="84" spans="1:21" s="214" customFormat="1">
      <c r="A84" s="215" t="s">
        <v>829</v>
      </c>
      <c r="B84" s="216">
        <f t="shared" si="37"/>
        <v>15000</v>
      </c>
      <c r="C84" s="217">
        <f>'[9]main spreadsheet'!$BO$40</f>
        <v>15000</v>
      </c>
      <c r="D84" s="217"/>
      <c r="E84" s="217">
        <f t="shared" si="38"/>
        <v>15000</v>
      </c>
      <c r="F84" s="217"/>
      <c r="G84" s="217"/>
      <c r="H84" s="217"/>
      <c r="I84" s="217"/>
      <c r="J84" s="217"/>
      <c r="K84" s="217"/>
      <c r="L84" s="217"/>
      <c r="M84" s="217"/>
      <c r="N84" s="217"/>
      <c r="O84" s="217"/>
      <c r="P84" s="217"/>
      <c r="Q84" s="217"/>
      <c r="R84" s="809">
        <f t="shared" si="39"/>
        <v>15000</v>
      </c>
      <c r="S84" s="217">
        <f t="shared" ref="S84:S87" si="40">+R84</f>
        <v>15000</v>
      </c>
      <c r="T84" s="217"/>
      <c r="U84" s="213"/>
    </row>
    <row r="85" spans="1:21" s="214" customFormat="1">
      <c r="A85" s="215" t="s">
        <v>830</v>
      </c>
      <c r="B85" s="216">
        <f t="shared" si="37"/>
        <v>1945957</v>
      </c>
      <c r="C85" s="217">
        <f>'[9]main spreadsheet'!$BO$35</f>
        <v>1945957</v>
      </c>
      <c r="D85" s="217"/>
      <c r="E85" s="217">
        <f t="shared" si="38"/>
        <v>1945957</v>
      </c>
      <c r="F85" s="217"/>
      <c r="G85" s="217"/>
      <c r="H85" s="217"/>
      <c r="I85" s="217"/>
      <c r="J85" s="217"/>
      <c r="K85" s="217"/>
      <c r="L85" s="217"/>
      <c r="M85" s="217"/>
      <c r="N85" s="217"/>
      <c r="O85" s="217"/>
      <c r="P85" s="217"/>
      <c r="Q85" s="217"/>
      <c r="R85" s="809">
        <f t="shared" si="39"/>
        <v>1945957</v>
      </c>
      <c r="S85" s="217">
        <f t="shared" si="40"/>
        <v>1945957</v>
      </c>
      <c r="T85" s="217"/>
      <c r="U85" s="213"/>
    </row>
    <row r="86" spans="1:21" s="214" customFormat="1">
      <c r="A86" s="215" t="s">
        <v>831</v>
      </c>
      <c r="B86" s="216">
        <f t="shared" si="37"/>
        <v>668779</v>
      </c>
      <c r="C86" s="217">
        <f>'[9]main spreadsheet'!$BO$36</f>
        <v>668779</v>
      </c>
      <c r="D86" s="217"/>
      <c r="E86" s="217">
        <f t="shared" si="38"/>
        <v>668779</v>
      </c>
      <c r="F86" s="217"/>
      <c r="G86" s="217"/>
      <c r="H86" s="217"/>
      <c r="I86" s="217"/>
      <c r="J86" s="217"/>
      <c r="K86" s="217"/>
      <c r="L86" s="217"/>
      <c r="M86" s="217"/>
      <c r="N86" s="217"/>
      <c r="O86" s="217"/>
      <c r="P86" s="217"/>
      <c r="Q86" s="217"/>
      <c r="R86" s="809">
        <f t="shared" si="39"/>
        <v>668779</v>
      </c>
      <c r="S86" s="217">
        <f t="shared" si="40"/>
        <v>668779</v>
      </c>
      <c r="T86" s="217"/>
      <c r="U86" s="213"/>
    </row>
    <row r="87" spans="1:21" s="214" customFormat="1">
      <c r="A87" s="215" t="s">
        <v>832</v>
      </c>
      <c r="B87" s="216">
        <f t="shared" si="37"/>
        <v>0</v>
      </c>
      <c r="C87" s="217"/>
      <c r="D87" s="217"/>
      <c r="E87" s="217">
        <f t="shared" si="38"/>
        <v>0</v>
      </c>
      <c r="F87" s="217"/>
      <c r="G87" s="217"/>
      <c r="H87" s="217"/>
      <c r="I87" s="217"/>
      <c r="J87" s="217"/>
      <c r="K87" s="217"/>
      <c r="L87" s="217"/>
      <c r="M87" s="217"/>
      <c r="N87" s="217"/>
      <c r="O87" s="217"/>
      <c r="P87" s="217"/>
      <c r="Q87" s="217"/>
      <c r="R87" s="809">
        <f t="shared" si="39"/>
        <v>0</v>
      </c>
      <c r="S87" s="217">
        <f t="shared" si="40"/>
        <v>0</v>
      </c>
      <c r="T87" s="217"/>
      <c r="U87" s="213"/>
    </row>
    <row r="88" spans="1:21" s="214" customFormat="1">
      <c r="A88" s="215" t="s">
        <v>833</v>
      </c>
      <c r="B88" s="216">
        <f t="shared" si="37"/>
        <v>50000</v>
      </c>
      <c r="C88" s="217">
        <f>'[9]main spreadsheet'!$BO$62</f>
        <v>50000</v>
      </c>
      <c r="D88" s="217"/>
      <c r="E88" s="217">
        <f t="shared" si="38"/>
        <v>50000</v>
      </c>
      <c r="F88" s="217"/>
      <c r="G88" s="217"/>
      <c r="H88" s="217"/>
      <c r="I88" s="217"/>
      <c r="J88" s="217"/>
      <c r="K88" s="217"/>
      <c r="L88" s="217"/>
      <c r="M88" s="217"/>
      <c r="N88" s="217"/>
      <c r="O88" s="217"/>
      <c r="P88" s="217"/>
      <c r="Q88" s="217"/>
      <c r="R88" s="809">
        <f t="shared" si="39"/>
        <v>50000</v>
      </c>
      <c r="S88" s="218"/>
      <c r="T88" s="218"/>
      <c r="U88" s="213"/>
    </row>
    <row r="89" spans="1:21" s="214" customFormat="1">
      <c r="A89" s="215" t="s">
        <v>834</v>
      </c>
      <c r="B89" s="216">
        <f t="shared" si="37"/>
        <v>40000</v>
      </c>
      <c r="C89" s="217">
        <f>'[9]main spreadsheet'!$BO$33</f>
        <v>40000</v>
      </c>
      <c r="D89" s="217"/>
      <c r="E89" s="217">
        <f t="shared" si="38"/>
        <v>40000</v>
      </c>
      <c r="F89" s="217"/>
      <c r="G89" s="217"/>
      <c r="H89" s="217"/>
      <c r="I89" s="217"/>
      <c r="J89" s="217"/>
      <c r="K89" s="217"/>
      <c r="L89" s="217"/>
      <c r="M89" s="217"/>
      <c r="N89" s="217"/>
      <c r="O89" s="217"/>
      <c r="P89" s="217"/>
      <c r="Q89" s="217"/>
      <c r="R89" s="809">
        <f t="shared" si="39"/>
        <v>40000</v>
      </c>
      <c r="S89" s="217">
        <f t="shared" ref="S89:S95" si="41">+R89</f>
        <v>40000</v>
      </c>
      <c r="T89" s="217"/>
      <c r="U89" s="213"/>
    </row>
    <row r="90" spans="1:21" s="214" customFormat="1">
      <c r="A90" s="215" t="s">
        <v>835</v>
      </c>
      <c r="B90" s="216">
        <f t="shared" si="37"/>
        <v>7500</v>
      </c>
      <c r="C90" s="217">
        <f>'[9]main spreadsheet'!$BO$60</f>
        <v>7500</v>
      </c>
      <c r="D90" s="217"/>
      <c r="E90" s="217">
        <f t="shared" si="38"/>
        <v>7500</v>
      </c>
      <c r="F90" s="217"/>
      <c r="G90" s="217"/>
      <c r="H90" s="217"/>
      <c r="I90" s="217"/>
      <c r="J90" s="217"/>
      <c r="K90" s="217"/>
      <c r="L90" s="217"/>
      <c r="M90" s="217"/>
      <c r="N90" s="217"/>
      <c r="O90" s="217"/>
      <c r="P90" s="217"/>
      <c r="Q90" s="217"/>
      <c r="R90" s="809">
        <f t="shared" si="39"/>
        <v>7500</v>
      </c>
      <c r="S90" s="217">
        <f>R90</f>
        <v>7500</v>
      </c>
      <c r="T90" s="217"/>
      <c r="U90" s="213"/>
    </row>
    <row r="91" spans="1:21" s="214" customFormat="1">
      <c r="A91" s="1671" t="s">
        <v>392</v>
      </c>
      <c r="B91" s="216">
        <f t="shared" si="37"/>
        <v>0</v>
      </c>
      <c r="C91" s="217"/>
      <c r="D91" s="217"/>
      <c r="E91" s="217">
        <f t="shared" si="38"/>
        <v>0</v>
      </c>
      <c r="F91" s="217"/>
      <c r="G91" s="217"/>
      <c r="H91" s="217"/>
      <c r="I91" s="217"/>
      <c r="J91" s="217"/>
      <c r="K91" s="217"/>
      <c r="L91" s="217"/>
      <c r="M91" s="217"/>
      <c r="N91" s="217"/>
      <c r="O91" s="217"/>
      <c r="P91" s="217"/>
      <c r="Q91" s="217"/>
      <c r="R91" s="809">
        <f t="shared" si="39"/>
        <v>0</v>
      </c>
      <c r="S91" s="217">
        <f t="shared" si="41"/>
        <v>0</v>
      </c>
      <c r="T91" s="217"/>
      <c r="U91" s="213"/>
    </row>
    <row r="92" spans="1:21" s="214" customFormat="1">
      <c r="A92" s="1670" t="s">
        <v>1429</v>
      </c>
      <c r="B92" s="216">
        <f t="shared" si="37"/>
        <v>7500</v>
      </c>
      <c r="C92" s="217">
        <f>'[9]main spreadsheet'!$BO$53</f>
        <v>7500</v>
      </c>
      <c r="D92" s="217"/>
      <c r="E92" s="217">
        <f t="shared" si="38"/>
        <v>7500</v>
      </c>
      <c r="F92" s="217"/>
      <c r="G92" s="217"/>
      <c r="H92" s="217"/>
      <c r="I92" s="217"/>
      <c r="J92" s="217"/>
      <c r="K92" s="217"/>
      <c r="L92" s="217"/>
      <c r="M92" s="217"/>
      <c r="N92" s="217"/>
      <c r="O92" s="217"/>
      <c r="P92" s="217"/>
      <c r="Q92" s="217"/>
      <c r="R92" s="809">
        <f t="shared" si="39"/>
        <v>7500</v>
      </c>
      <c r="S92" s="217">
        <f t="shared" si="41"/>
        <v>7500</v>
      </c>
      <c r="T92" s="217"/>
      <c r="U92" s="213"/>
    </row>
    <row r="93" spans="1:21" s="214" customFormat="1">
      <c r="A93" s="1684" t="s">
        <v>2575</v>
      </c>
      <c r="B93" s="216">
        <f t="shared" si="37"/>
        <v>50000</v>
      </c>
      <c r="C93" s="217">
        <f>'[9]main spreadsheet'!$BO$39</f>
        <v>50000</v>
      </c>
      <c r="D93" s="217"/>
      <c r="E93" s="217">
        <f t="shared" si="38"/>
        <v>50000</v>
      </c>
      <c r="F93" s="217"/>
      <c r="G93" s="217"/>
      <c r="H93" s="217"/>
      <c r="I93" s="217"/>
      <c r="J93" s="217"/>
      <c r="K93" s="217"/>
      <c r="L93" s="217"/>
      <c r="M93" s="217"/>
      <c r="N93" s="217"/>
      <c r="O93" s="217"/>
      <c r="P93" s="217"/>
      <c r="Q93" s="217"/>
      <c r="R93" s="809">
        <f t="shared" si="39"/>
        <v>50000</v>
      </c>
      <c r="S93" s="217">
        <f t="shared" si="41"/>
        <v>50000</v>
      </c>
      <c r="T93" s="217"/>
      <c r="U93" s="213"/>
    </row>
    <row r="94" spans="1:21" s="214" customFormat="1">
      <c r="A94" s="1684"/>
      <c r="B94" s="216">
        <f t="shared" si="37"/>
        <v>0</v>
      </c>
      <c r="C94" s="217"/>
      <c r="D94" s="217"/>
      <c r="E94" s="217">
        <f t="shared" si="38"/>
        <v>0</v>
      </c>
      <c r="F94" s="217"/>
      <c r="G94" s="217"/>
      <c r="H94" s="217">
        <f>+C94</f>
        <v>0</v>
      </c>
      <c r="I94" s="217"/>
      <c r="J94" s="217"/>
      <c r="K94" s="217"/>
      <c r="L94" s="217"/>
      <c r="M94" s="217"/>
      <c r="N94" s="217"/>
      <c r="O94" s="217"/>
      <c r="P94" s="217"/>
      <c r="Q94" s="217"/>
      <c r="R94" s="809">
        <f t="shared" si="39"/>
        <v>0</v>
      </c>
      <c r="S94" s="217">
        <f t="shared" si="41"/>
        <v>0</v>
      </c>
      <c r="T94" s="217"/>
      <c r="U94" s="213"/>
    </row>
    <row r="95" spans="1:21" s="214" customFormat="1">
      <c r="A95" s="222" t="s">
        <v>35</v>
      </c>
      <c r="B95" s="216">
        <f t="shared" si="37"/>
        <v>0</v>
      </c>
      <c r="C95" s="217"/>
      <c r="D95" s="217"/>
      <c r="E95" s="217">
        <f t="shared" si="38"/>
        <v>0</v>
      </c>
      <c r="F95" s="217"/>
      <c r="G95" s="217"/>
      <c r="H95" s="217"/>
      <c r="I95" s="217"/>
      <c r="J95" s="217"/>
      <c r="K95" s="217"/>
      <c r="L95" s="217"/>
      <c r="M95" s="217"/>
      <c r="N95" s="217"/>
      <c r="O95" s="217"/>
      <c r="P95" s="217"/>
      <c r="Q95" s="217"/>
      <c r="R95" s="809">
        <f t="shared" si="39"/>
        <v>0</v>
      </c>
      <c r="S95" s="217">
        <f t="shared" si="41"/>
        <v>0</v>
      </c>
      <c r="T95" s="217"/>
      <c r="U95" s="213"/>
    </row>
    <row r="96" spans="1:21" s="214" customFormat="1">
      <c r="A96" s="219" t="s">
        <v>836</v>
      </c>
      <c r="B96" s="216">
        <f>SUM(C96:D96)</f>
        <v>2834083.9441116089</v>
      </c>
      <c r="C96" s="216">
        <f t="shared" ref="C96:R96" si="42">SUM(C83:C95)</f>
        <v>2834083.9441116089</v>
      </c>
      <c r="D96" s="216">
        <f t="shared" si="42"/>
        <v>0</v>
      </c>
      <c r="E96" s="216">
        <f t="shared" si="42"/>
        <v>2834083.9441116089</v>
      </c>
      <c r="F96" s="216">
        <f t="shared" si="42"/>
        <v>0</v>
      </c>
      <c r="G96" s="216">
        <f t="shared" si="42"/>
        <v>0</v>
      </c>
      <c r="H96" s="216">
        <f t="shared" si="42"/>
        <v>0</v>
      </c>
      <c r="I96" s="216">
        <f t="shared" si="42"/>
        <v>0</v>
      </c>
      <c r="J96" s="216">
        <f t="shared" si="42"/>
        <v>0</v>
      </c>
      <c r="K96" s="216">
        <f t="shared" si="42"/>
        <v>0</v>
      </c>
      <c r="L96" s="216">
        <f t="shared" si="42"/>
        <v>0</v>
      </c>
      <c r="M96" s="216">
        <f t="shared" si="42"/>
        <v>0</v>
      </c>
      <c r="N96" s="216">
        <f t="shared" si="42"/>
        <v>0</v>
      </c>
      <c r="O96" s="216">
        <f t="shared" si="42"/>
        <v>0</v>
      </c>
      <c r="P96" s="216">
        <f t="shared" si="42"/>
        <v>0</v>
      </c>
      <c r="Q96" s="216">
        <f t="shared" si="42"/>
        <v>0</v>
      </c>
      <c r="R96" s="535">
        <f t="shared" si="42"/>
        <v>2834083.9441116089</v>
      </c>
      <c r="S96" s="220">
        <f>SUM(S84:S87,S89:S95)</f>
        <v>2734736</v>
      </c>
      <c r="T96" s="216">
        <f>SUM(T84:T87,T89:T95)</f>
        <v>0</v>
      </c>
      <c r="U96" s="213"/>
    </row>
    <row r="97" spans="1:21" s="214" customFormat="1">
      <c r="A97" s="219" t="s">
        <v>837</v>
      </c>
      <c r="B97" s="216">
        <f ca="1">SUM(C97:D97)</f>
        <v>41864634.187312514</v>
      </c>
      <c r="C97" s="216">
        <f t="shared" ref="C97:R97" ca="1" si="43">SUM(C63+C70+C77+C81+C96)</f>
        <v>41864634.187312514</v>
      </c>
      <c r="D97" s="216">
        <f t="shared" si="43"/>
        <v>0</v>
      </c>
      <c r="E97" s="216">
        <f t="shared" ca="1" si="43"/>
        <v>17000592.384615965</v>
      </c>
      <c r="F97" s="216">
        <f t="shared" si="43"/>
        <v>10146800</v>
      </c>
      <c r="G97" s="216">
        <f t="shared" si="43"/>
        <v>5477743</v>
      </c>
      <c r="H97" s="216">
        <f t="shared" si="43"/>
        <v>4964384</v>
      </c>
      <c r="I97" s="216">
        <f t="shared" si="43"/>
        <v>165000</v>
      </c>
      <c r="J97" s="216">
        <f t="shared" si="43"/>
        <v>3300000</v>
      </c>
      <c r="K97" s="216">
        <f t="shared" si="43"/>
        <v>0</v>
      </c>
      <c r="L97" s="216">
        <f t="shared" si="43"/>
        <v>459743.42961278558</v>
      </c>
      <c r="M97" s="216">
        <f t="shared" si="43"/>
        <v>350371.37308376189</v>
      </c>
      <c r="N97" s="216">
        <f t="shared" si="43"/>
        <v>0</v>
      </c>
      <c r="O97" s="216">
        <f t="shared" si="43"/>
        <v>0</v>
      </c>
      <c r="P97" s="216">
        <f t="shared" si="43"/>
        <v>0</v>
      </c>
      <c r="Q97" s="216">
        <f t="shared" si="43"/>
        <v>0</v>
      </c>
      <c r="R97" s="216">
        <f t="shared" ca="1" si="43"/>
        <v>41864634.187312514</v>
      </c>
      <c r="S97" s="216">
        <f ca="1">SUM(S63+S70+S81+S96)</f>
        <v>36490622.096823953</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3500000</v>
      </c>
      <c r="C99" s="1626">
        <f>'[9]main spreadsheet'!$BO$67</f>
        <v>3500000</v>
      </c>
      <c r="D99" s="1626"/>
      <c r="E99" s="217">
        <f t="shared" ref="E99" si="44">C99-SUM(F99:M99)</f>
        <v>2216789.7877567098</v>
      </c>
      <c r="F99" s="217"/>
      <c r="G99" s="217"/>
      <c r="H99" s="217"/>
      <c r="I99" s="217"/>
      <c r="J99" s="217"/>
      <c r="K99" s="217">
        <f>Application!AO642</f>
        <v>1283210.2122432902</v>
      </c>
      <c r="L99" s="217"/>
      <c r="M99" s="217"/>
      <c r="N99" s="217"/>
      <c r="O99" s="217"/>
      <c r="P99" s="217"/>
      <c r="Q99" s="217"/>
      <c r="R99" s="809">
        <f t="shared" ref="R99:R103" si="45">SUM(E99:Q99)</f>
        <v>3500000</v>
      </c>
      <c r="S99" s="217">
        <f t="shared" ref="S99:S103" si="46">+R99</f>
        <v>3500000</v>
      </c>
      <c r="T99" s="217"/>
      <c r="U99" s="213"/>
    </row>
    <row r="100" spans="1:21" s="214" customFormat="1">
      <c r="A100" s="441" t="s">
        <v>2018</v>
      </c>
      <c r="B100" s="216">
        <f t="shared" ref="B100:B103" si="47">SUM(C100+D100)</f>
        <v>0</v>
      </c>
      <c r="C100" s="217"/>
      <c r="D100" s="217"/>
      <c r="E100" s="217"/>
      <c r="F100" s="217"/>
      <c r="G100" s="217"/>
      <c r="H100" s="217"/>
      <c r="I100" s="217"/>
      <c r="J100" s="217"/>
      <c r="K100" s="217"/>
      <c r="L100" s="217"/>
      <c r="M100" s="217"/>
      <c r="N100" s="217"/>
      <c r="O100" s="217"/>
      <c r="P100" s="217"/>
      <c r="Q100" s="217"/>
      <c r="R100" s="809">
        <f t="shared" si="45"/>
        <v>0</v>
      </c>
      <c r="S100" s="217">
        <f t="shared" si="46"/>
        <v>0</v>
      </c>
      <c r="T100" s="217"/>
      <c r="U100" s="213"/>
    </row>
    <row r="101" spans="1:21" s="214" customFormat="1" ht="12" customHeight="1">
      <c r="A101" s="215" t="s">
        <v>840</v>
      </c>
      <c r="B101" s="216">
        <f t="shared" si="47"/>
        <v>0</v>
      </c>
      <c r="C101" s="217"/>
      <c r="D101" s="217"/>
      <c r="E101" s="217"/>
      <c r="F101" s="217"/>
      <c r="G101" s="217"/>
      <c r="H101" s="217"/>
      <c r="I101" s="217"/>
      <c r="J101" s="217"/>
      <c r="K101" s="217"/>
      <c r="L101" s="217"/>
      <c r="M101" s="217"/>
      <c r="N101" s="217"/>
      <c r="O101" s="217"/>
      <c r="P101" s="217"/>
      <c r="Q101" s="217"/>
      <c r="R101" s="809">
        <f t="shared" si="45"/>
        <v>0</v>
      </c>
      <c r="S101" s="217">
        <f t="shared" si="46"/>
        <v>0</v>
      </c>
      <c r="T101" s="217"/>
      <c r="U101" s="213"/>
    </row>
    <row r="102" spans="1:21" s="214" customFormat="1">
      <c r="A102" s="441" t="s">
        <v>2019</v>
      </c>
      <c r="B102" s="216">
        <f t="shared" si="47"/>
        <v>0</v>
      </c>
      <c r="C102" s="217"/>
      <c r="D102" s="217"/>
      <c r="E102" s="217"/>
      <c r="F102" s="217"/>
      <c r="G102" s="217"/>
      <c r="H102" s="217"/>
      <c r="I102" s="217"/>
      <c r="J102" s="217"/>
      <c r="K102" s="217"/>
      <c r="L102" s="217"/>
      <c r="M102" s="217"/>
      <c r="N102" s="217"/>
      <c r="O102" s="217"/>
      <c r="P102" s="217"/>
      <c r="Q102" s="217"/>
      <c r="R102" s="809">
        <f t="shared" si="45"/>
        <v>0</v>
      </c>
      <c r="S102" s="217">
        <f t="shared" si="46"/>
        <v>0</v>
      </c>
      <c r="T102" s="217"/>
      <c r="U102" s="213"/>
    </row>
    <row r="103" spans="1:21" s="214" customFormat="1">
      <c r="A103" s="222" t="s">
        <v>35</v>
      </c>
      <c r="B103" s="216">
        <f t="shared" si="47"/>
        <v>0</v>
      </c>
      <c r="C103" s="217"/>
      <c r="D103" s="217"/>
      <c r="E103" s="217"/>
      <c r="F103" s="217"/>
      <c r="G103" s="217"/>
      <c r="H103" s="217"/>
      <c r="I103" s="217"/>
      <c r="J103" s="217"/>
      <c r="K103" s="217"/>
      <c r="L103" s="217"/>
      <c r="M103" s="217"/>
      <c r="N103" s="217"/>
      <c r="O103" s="217"/>
      <c r="P103" s="217"/>
      <c r="Q103" s="217"/>
      <c r="R103" s="809">
        <f t="shared" si="45"/>
        <v>0</v>
      </c>
      <c r="S103" s="217">
        <f t="shared" si="46"/>
        <v>0</v>
      </c>
      <c r="T103" s="217"/>
      <c r="U103" s="213"/>
    </row>
    <row r="104" spans="1:21" s="214" customFormat="1">
      <c r="A104" s="219" t="s">
        <v>841</v>
      </c>
      <c r="B104" s="216">
        <f>SUM(C104:D104)</f>
        <v>3500000</v>
      </c>
      <c r="C104" s="216">
        <f>SUM(C99:C103)</f>
        <v>3500000</v>
      </c>
      <c r="D104" s="216">
        <f t="shared" ref="D104:T104" si="48">SUM(D99:D103)</f>
        <v>0</v>
      </c>
      <c r="E104" s="216">
        <f t="shared" si="48"/>
        <v>2216789.7877567098</v>
      </c>
      <c r="F104" s="216">
        <f t="shared" si="48"/>
        <v>0</v>
      </c>
      <c r="G104" s="216">
        <f t="shared" si="48"/>
        <v>0</v>
      </c>
      <c r="H104" s="216">
        <f t="shared" si="48"/>
        <v>0</v>
      </c>
      <c r="I104" s="216">
        <f t="shared" si="48"/>
        <v>0</v>
      </c>
      <c r="J104" s="216">
        <f t="shared" si="48"/>
        <v>0</v>
      </c>
      <c r="K104" s="216">
        <f t="shared" si="48"/>
        <v>1283210.2122432902</v>
      </c>
      <c r="L104" s="216">
        <f t="shared" si="48"/>
        <v>0</v>
      </c>
      <c r="M104" s="216">
        <f t="shared" si="48"/>
        <v>0</v>
      </c>
      <c r="N104" s="216">
        <f t="shared" si="48"/>
        <v>0</v>
      </c>
      <c r="O104" s="216">
        <f t="shared" si="48"/>
        <v>0</v>
      </c>
      <c r="P104" s="216">
        <f t="shared" si="48"/>
        <v>0</v>
      </c>
      <c r="Q104" s="216">
        <f t="shared" si="48"/>
        <v>0</v>
      </c>
      <c r="R104" s="535">
        <f t="shared" si="48"/>
        <v>3500000</v>
      </c>
      <c r="S104" s="220">
        <f t="shared" si="48"/>
        <v>3500000</v>
      </c>
      <c r="T104" s="220">
        <f t="shared" si="48"/>
        <v>0</v>
      </c>
      <c r="U104" s="213"/>
    </row>
    <row r="105" spans="1:21" s="214" customFormat="1">
      <c r="A105" s="219" t="s">
        <v>842</v>
      </c>
      <c r="B105" s="220">
        <f ca="1">SUM(C105:D105)</f>
        <v>45364634.187312514</v>
      </c>
      <c r="C105" s="220">
        <f t="shared" ref="C105:R105" ca="1" si="49">SUM(C97+C104)</f>
        <v>45364634.187312514</v>
      </c>
      <c r="D105" s="220">
        <f t="shared" si="49"/>
        <v>0</v>
      </c>
      <c r="E105" s="220">
        <f t="shared" ca="1" si="49"/>
        <v>19217382.172372676</v>
      </c>
      <c r="F105" s="220">
        <f t="shared" si="49"/>
        <v>10146800</v>
      </c>
      <c r="G105" s="220">
        <f t="shared" si="49"/>
        <v>5477743</v>
      </c>
      <c r="H105" s="220">
        <f t="shared" si="49"/>
        <v>4964384</v>
      </c>
      <c r="I105" s="220">
        <f t="shared" si="49"/>
        <v>165000</v>
      </c>
      <c r="J105" s="220">
        <f t="shared" si="49"/>
        <v>3300000</v>
      </c>
      <c r="K105" s="220">
        <f t="shared" si="49"/>
        <v>1283210.2122432902</v>
      </c>
      <c r="L105" s="220">
        <f t="shared" si="49"/>
        <v>459743.42961278558</v>
      </c>
      <c r="M105" s="220">
        <f t="shared" si="49"/>
        <v>350371.37308376189</v>
      </c>
      <c r="N105" s="220">
        <f t="shared" si="49"/>
        <v>0</v>
      </c>
      <c r="O105" s="220">
        <f t="shared" si="49"/>
        <v>0</v>
      </c>
      <c r="P105" s="220">
        <f t="shared" si="49"/>
        <v>0</v>
      </c>
      <c r="Q105" s="220">
        <f t="shared" si="49"/>
        <v>0</v>
      </c>
      <c r="R105" s="535">
        <f t="shared" ca="1" si="49"/>
        <v>45364634.187312514</v>
      </c>
      <c r="S105" s="220">
        <f ca="1">S97+S104</f>
        <v>39990622.096823953</v>
      </c>
      <c r="T105" s="220">
        <f>T97+T104</f>
        <v>0</v>
      </c>
      <c r="U105" s="213"/>
    </row>
    <row r="106" spans="1:21">
      <c r="A106" s="797"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 ca="1">S105+S106</f>
        <v>39990622.096823953</v>
      </c>
      <c r="T107" s="234">
        <f>T105+T106</f>
        <v>0</v>
      </c>
    </row>
    <row r="108" spans="1:21" s="301" customFormat="1">
      <c r="A108" s="233" t="s">
        <v>948</v>
      </c>
      <c r="B108" s="228"/>
      <c r="C108" s="228"/>
      <c r="D108" s="228"/>
      <c r="E108" s="465">
        <f>Application!AO650</f>
        <v>19217382.17237268</v>
      </c>
      <c r="F108" s="465">
        <f>Application!AO637</f>
        <v>10146800</v>
      </c>
      <c r="G108" s="465">
        <f>Application!AO638</f>
        <v>5477743</v>
      </c>
      <c r="H108" s="465">
        <f>Application!AO639</f>
        <v>4964384</v>
      </c>
      <c r="I108" s="465">
        <f>Application!AO640</f>
        <v>165000</v>
      </c>
      <c r="J108" s="465">
        <f>Application!AO641</f>
        <v>3300000</v>
      </c>
      <c r="K108" s="465">
        <f>Application!AO642</f>
        <v>1283210.2122432902</v>
      </c>
      <c r="L108" s="465">
        <f>Application!AO643</f>
        <v>459743.42961278558</v>
      </c>
      <c r="M108" s="465">
        <f>Application!AO644</f>
        <v>350371.37308376189</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469" t="s">
        <v>1100</v>
      </c>
      <c r="E122" s="2469"/>
      <c r="F122" s="2469"/>
      <c r="G122" s="515"/>
      <c r="H122" s="515"/>
      <c r="I122" s="515"/>
      <c r="J122" s="515"/>
      <c r="K122" s="515"/>
      <c r="L122" s="515"/>
      <c r="M122" s="515"/>
      <c r="N122" s="515"/>
      <c r="O122" s="515"/>
      <c r="P122" s="515"/>
      <c r="Q122" s="515"/>
      <c r="R122" s="515"/>
      <c r="S122" s="515"/>
      <c r="T122" s="515"/>
      <c r="U122" s="517"/>
    </row>
    <row r="123" spans="1:21">
      <c r="A123" s="515" t="s">
        <v>1101</v>
      </c>
      <c r="B123" s="524"/>
      <c r="C123" s="515"/>
      <c r="D123" s="2472" t="s">
        <v>1447</v>
      </c>
      <c r="E123" s="2473"/>
      <c r="F123" s="2473"/>
      <c r="G123" s="2473"/>
      <c r="H123" s="2473"/>
      <c r="I123" s="2473"/>
      <c r="J123" s="2473"/>
      <c r="K123" s="2473"/>
      <c r="L123" s="2473"/>
      <c r="M123" s="2473"/>
      <c r="N123" s="2473"/>
      <c r="O123" s="2473"/>
      <c r="P123" s="2473"/>
      <c r="Q123" s="2473"/>
      <c r="R123" s="2473"/>
      <c r="S123" s="2473"/>
      <c r="T123" s="515"/>
      <c r="U123" s="517"/>
    </row>
    <row r="124" spans="1:21" ht="12.75">
      <c r="A124" s="514" t="s">
        <v>1102</v>
      </c>
      <c r="B124" s="524"/>
      <c r="C124" s="514"/>
      <c r="D124" s="2473"/>
      <c r="E124" s="2473"/>
      <c r="F124" s="2473"/>
      <c r="G124" s="2473"/>
      <c r="H124" s="2473"/>
      <c r="I124" s="2473"/>
      <c r="J124" s="2473"/>
      <c r="K124" s="2473"/>
      <c r="L124" s="2473"/>
      <c r="M124" s="2473"/>
      <c r="N124" s="2473"/>
      <c r="O124" s="2473"/>
      <c r="P124" s="2473"/>
      <c r="Q124" s="2473"/>
      <c r="R124" s="2473"/>
      <c r="S124" s="2473"/>
      <c r="T124" s="515"/>
      <c r="U124" s="517"/>
    </row>
    <row r="125" spans="1:21" ht="12.75">
      <c r="A125" s="514" t="s">
        <v>1103</v>
      </c>
      <c r="B125" s="524"/>
      <c r="C125" s="514"/>
      <c r="D125" s="2473"/>
      <c r="E125" s="2473"/>
      <c r="F125" s="2473"/>
      <c r="G125" s="2473"/>
      <c r="H125" s="2473"/>
      <c r="I125" s="2473"/>
      <c r="J125" s="2473"/>
      <c r="K125" s="2473"/>
      <c r="L125" s="2473"/>
      <c r="M125" s="2473"/>
      <c r="N125" s="2473"/>
      <c r="O125" s="2473"/>
      <c r="P125" s="2473"/>
      <c r="Q125" s="2473"/>
      <c r="R125" s="2473"/>
      <c r="S125" s="2473"/>
      <c r="T125" s="515"/>
      <c r="U125" s="517"/>
    </row>
    <row r="126" spans="1:21" ht="12.7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466"/>
      <c r="E128" s="2466"/>
      <c r="F128" s="2466"/>
      <c r="G128" s="2466"/>
      <c r="H128" s="2466"/>
      <c r="I128" s="514"/>
      <c r="J128" s="2467"/>
      <c r="K128" s="2467"/>
      <c r="L128" s="514"/>
      <c r="M128" s="514"/>
      <c r="N128" s="514"/>
      <c r="O128" s="514"/>
      <c r="P128" s="514"/>
      <c r="Q128" s="514"/>
      <c r="R128" s="514"/>
      <c r="S128" s="514"/>
      <c r="T128" s="515"/>
      <c r="U128" s="517"/>
    </row>
    <row r="129" spans="1:21" ht="12.75">
      <c r="A129" s="514" t="s">
        <v>310</v>
      </c>
      <c r="B129" s="524"/>
      <c r="C129" s="514"/>
      <c r="D129" s="2468" t="s">
        <v>1107</v>
      </c>
      <c r="E129" s="2468"/>
      <c r="F129" s="2468"/>
      <c r="G129" s="2468"/>
      <c r="H129" s="2468"/>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0</v>
      </c>
      <c r="C131" s="514"/>
      <c r="D131" s="2390"/>
      <c r="E131" s="2390"/>
      <c r="F131" s="2390"/>
      <c r="G131" s="2390"/>
      <c r="H131" s="2390"/>
      <c r="I131" s="514"/>
      <c r="J131" s="2390"/>
      <c r="K131" s="2390"/>
      <c r="L131" s="2390"/>
      <c r="M131" s="2390"/>
      <c r="N131" s="514"/>
      <c r="O131" s="514"/>
      <c r="P131" s="514"/>
      <c r="Q131" s="514"/>
      <c r="R131" s="514"/>
      <c r="S131" s="514"/>
      <c r="T131" s="515"/>
      <c r="U131" s="517"/>
    </row>
    <row r="132" spans="1:21" ht="12" customHeight="1">
      <c r="A132" s="528"/>
      <c r="B132" s="514"/>
      <c r="C132" s="514"/>
      <c r="D132" s="2474" t="s">
        <v>1110</v>
      </c>
      <c r="E132" s="2474"/>
      <c r="F132" s="2474"/>
      <c r="G132" s="2474"/>
      <c r="H132" s="2474"/>
      <c r="I132" s="514"/>
      <c r="J132" s="2474" t="s">
        <v>1111</v>
      </c>
      <c r="K132" s="2474"/>
      <c r="L132" s="2474"/>
      <c r="M132" s="2474"/>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475"/>
      <c r="B138" s="2476"/>
      <c r="C138" s="2476"/>
      <c r="D138" s="519"/>
      <c r="E138" s="2467"/>
      <c r="F138" s="2467"/>
      <c r="G138" s="514"/>
      <c r="H138" s="514"/>
      <c r="I138" s="514"/>
      <c r="J138" s="514"/>
      <c r="K138" s="514"/>
      <c r="L138" s="514"/>
      <c r="M138" s="514"/>
      <c r="N138" s="514"/>
      <c r="O138" s="514"/>
      <c r="P138" s="514"/>
      <c r="Q138" s="514"/>
      <c r="R138" s="514"/>
      <c r="S138" s="514"/>
      <c r="T138" s="521"/>
      <c r="U138" s="522"/>
    </row>
    <row r="139" spans="1:21" ht="12.75">
      <c r="A139" s="2470" t="s">
        <v>1114</v>
      </c>
      <c r="B139" s="2471"/>
      <c r="C139" s="2471"/>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8" priority="255" stopIfTrue="1">
      <formula>T9&gt;C9</formula>
    </cfRule>
  </conditionalFormatting>
  <conditionalFormatting sqref="S10">
    <cfRule type="expression" dxfId="117" priority="254" stopIfTrue="1">
      <formula>(S10+T10)&gt;C10</formula>
    </cfRule>
  </conditionalFormatting>
  <conditionalFormatting sqref="R8">
    <cfRule type="cellIs" dxfId="116" priority="243" stopIfTrue="1" operator="notEqual">
      <formula>$B8</formula>
    </cfRule>
    <cfRule type="cellIs" priority="246" stopIfTrue="1" operator="notEqual">
      <formula>$B8</formula>
    </cfRule>
  </conditionalFormatting>
  <conditionalFormatting sqref="R4:R7 R56:R61 R45:R53 R83:R95 R99:R103">
    <cfRule type="cellIs" dxfId="115" priority="245" stopIfTrue="1" operator="notEqual">
      <formula>$B4</formula>
    </cfRule>
  </conditionalFormatting>
  <conditionalFormatting sqref="R9:R10">
    <cfRule type="cellIs" dxfId="114" priority="244" stopIfTrue="1" operator="notEqual">
      <formula>$B9</formula>
    </cfRule>
  </conditionalFormatting>
  <conditionalFormatting sqref="R11:R12">
    <cfRule type="cellIs" dxfId="113" priority="241" stopIfTrue="1" operator="notEqual">
      <formula>$B11</formula>
    </cfRule>
    <cfRule type="cellIs" priority="242" stopIfTrue="1" operator="notEqual">
      <formula>$B11</formula>
    </cfRule>
  </conditionalFormatting>
  <conditionalFormatting sqref="R13:R15">
    <cfRule type="cellIs" dxfId="112" priority="240" stopIfTrue="1" operator="notEqual">
      <formula>$B13</formula>
    </cfRule>
  </conditionalFormatting>
  <conditionalFormatting sqref="R26">
    <cfRule type="cellIs" dxfId="111" priority="238" stopIfTrue="1" operator="notEqual">
      <formula>$B26</formula>
    </cfRule>
    <cfRule type="cellIs" priority="239" stopIfTrue="1" operator="notEqual">
      <formula>$B26</formula>
    </cfRule>
  </conditionalFormatting>
  <conditionalFormatting sqref="R17:R25">
    <cfRule type="cellIs" dxfId="110" priority="237" stopIfTrue="1" operator="notEqual">
      <formula>$B17</formula>
    </cfRule>
  </conditionalFormatting>
  <conditionalFormatting sqref="R27">
    <cfRule type="cellIs" dxfId="109" priority="236" stopIfTrue="1" operator="notEqual">
      <formula>$B27</formula>
    </cfRule>
  </conditionalFormatting>
  <conditionalFormatting sqref="R38">
    <cfRule type="cellIs" dxfId="108" priority="234" stopIfTrue="1" operator="notEqual">
      <formula>$B38</formula>
    </cfRule>
    <cfRule type="cellIs" priority="235" stopIfTrue="1" operator="notEqual">
      <formula>$B38</formula>
    </cfRule>
  </conditionalFormatting>
  <conditionalFormatting sqref="R29:R37">
    <cfRule type="cellIs" dxfId="107" priority="233" stopIfTrue="1" operator="notEqual">
      <formula>$B29</formula>
    </cfRule>
  </conditionalFormatting>
  <conditionalFormatting sqref="R42">
    <cfRule type="cellIs" dxfId="106" priority="231" stopIfTrue="1" operator="notEqual">
      <formula>$B42</formula>
    </cfRule>
    <cfRule type="cellIs" priority="232" stopIfTrue="1" operator="notEqual">
      <formula>$B42</formula>
    </cfRule>
  </conditionalFormatting>
  <conditionalFormatting sqref="R40:R41">
    <cfRule type="cellIs" dxfId="105" priority="230" stopIfTrue="1" operator="notEqual">
      <formula>$B40</formula>
    </cfRule>
  </conditionalFormatting>
  <conditionalFormatting sqref="R43">
    <cfRule type="cellIs" dxfId="104" priority="229" stopIfTrue="1" operator="notEqual">
      <formula>$B43</formula>
    </cfRule>
  </conditionalFormatting>
  <conditionalFormatting sqref="R54">
    <cfRule type="cellIs" dxfId="103" priority="227" stopIfTrue="1" operator="notEqual">
      <formula>$B54</formula>
    </cfRule>
    <cfRule type="cellIs" priority="228" stopIfTrue="1" operator="notEqual">
      <formula>$B54</formula>
    </cfRule>
  </conditionalFormatting>
  <conditionalFormatting sqref="R62:R63">
    <cfRule type="cellIs" dxfId="102" priority="224" stopIfTrue="1" operator="notEqual">
      <formula>$B62</formula>
    </cfRule>
    <cfRule type="cellIs" priority="225" stopIfTrue="1" operator="notEqual">
      <formula>$B62</formula>
    </cfRule>
  </conditionalFormatting>
  <conditionalFormatting sqref="R70">
    <cfRule type="cellIs" dxfId="101" priority="221" stopIfTrue="1" operator="notEqual">
      <formula>$B70</formula>
    </cfRule>
    <cfRule type="cellIs" priority="222" stopIfTrue="1" operator="notEqual">
      <formula>$B70</formula>
    </cfRule>
  </conditionalFormatting>
  <conditionalFormatting sqref="R65:R69">
    <cfRule type="cellIs" dxfId="100" priority="220" stopIfTrue="1" operator="notEqual">
      <formula>$B65</formula>
    </cfRule>
  </conditionalFormatting>
  <conditionalFormatting sqref="R77">
    <cfRule type="cellIs" dxfId="99" priority="218" stopIfTrue="1" operator="notEqual">
      <formula>$B77</formula>
    </cfRule>
    <cfRule type="cellIs" priority="219" stopIfTrue="1" operator="notEqual">
      <formula>$B77</formula>
    </cfRule>
  </conditionalFormatting>
  <conditionalFormatting sqref="R96">
    <cfRule type="cellIs" dxfId="98" priority="216" stopIfTrue="1" operator="notEqual">
      <formula>$B96</formula>
    </cfRule>
    <cfRule type="cellIs" priority="217" stopIfTrue="1" operator="notEqual">
      <formula>$B96</formula>
    </cfRule>
  </conditionalFormatting>
  <conditionalFormatting sqref="R72:R76">
    <cfRule type="cellIs" dxfId="97" priority="215" stopIfTrue="1" operator="notEqual">
      <formula>$B72</formula>
    </cfRule>
  </conditionalFormatting>
  <conditionalFormatting sqref="R79:R80">
    <cfRule type="cellIs" dxfId="96" priority="214" stopIfTrue="1" operator="notEqual">
      <formula>$B79</formula>
    </cfRule>
  </conditionalFormatting>
  <conditionalFormatting sqref="R104:R105">
    <cfRule type="cellIs" dxfId="95" priority="211" stopIfTrue="1" operator="notEqual">
      <formula>$B104</formula>
    </cfRule>
    <cfRule type="cellIs" priority="212" stopIfTrue="1" operator="notEqual">
      <formula>$B104</formula>
    </cfRule>
  </conditionalFormatting>
  <conditionalFormatting sqref="E105:Q105">
    <cfRule type="cellIs" dxfId="94" priority="209" stopIfTrue="1" operator="notEqual">
      <formula>E$108</formula>
    </cfRule>
  </conditionalFormatting>
  <conditionalFormatting sqref="S13">
    <cfRule type="expression" dxfId="93" priority="206" stopIfTrue="1">
      <formula>(S13+T13)&gt;C13</formula>
    </cfRule>
  </conditionalFormatting>
  <conditionalFormatting sqref="S14">
    <cfRule type="expression" dxfId="92" priority="203" stopIfTrue="1">
      <formula>(S14+T14)&gt;C14</formula>
    </cfRule>
  </conditionalFormatting>
  <conditionalFormatting sqref="S17">
    <cfRule type="expression" dxfId="91" priority="202" stopIfTrue="1">
      <formula>(S17+T17)&gt;C17</formula>
    </cfRule>
  </conditionalFormatting>
  <conditionalFormatting sqref="S18">
    <cfRule type="expression" dxfId="90" priority="194" stopIfTrue="1">
      <formula>(S18+T18)&gt;C18</formula>
    </cfRule>
  </conditionalFormatting>
  <conditionalFormatting sqref="S19">
    <cfRule type="expression" dxfId="89" priority="192" stopIfTrue="1">
      <formula>(S19+T19)&gt;C19</formula>
    </cfRule>
  </conditionalFormatting>
  <conditionalFormatting sqref="S20">
    <cfRule type="expression" dxfId="88" priority="191" stopIfTrue="1">
      <formula>(S20+T20)&gt;C20</formula>
    </cfRule>
  </conditionalFormatting>
  <conditionalFormatting sqref="S21">
    <cfRule type="expression" dxfId="87" priority="190" stopIfTrue="1">
      <formula>(S21+T21)&gt;C21</formula>
    </cfRule>
  </conditionalFormatting>
  <conditionalFormatting sqref="S22">
    <cfRule type="expression" dxfId="86" priority="189" stopIfTrue="1">
      <formula>(S22+T22)&gt;C22</formula>
    </cfRule>
  </conditionalFormatting>
  <conditionalFormatting sqref="S23:S24">
    <cfRule type="expression" dxfId="85" priority="188" stopIfTrue="1">
      <formula>(S23+T23)&gt;C23</formula>
    </cfRule>
  </conditionalFormatting>
  <conditionalFormatting sqref="S25">
    <cfRule type="expression" dxfId="84" priority="187" stopIfTrue="1">
      <formula>(S25+T25)&gt;C25</formula>
    </cfRule>
  </conditionalFormatting>
  <conditionalFormatting sqref="S27">
    <cfRule type="expression" dxfId="83" priority="180" stopIfTrue="1">
      <formula>(S27+T27)&gt;C27</formula>
    </cfRule>
  </conditionalFormatting>
  <conditionalFormatting sqref="S29">
    <cfRule type="expression" dxfId="82" priority="178" stopIfTrue="1">
      <formula>(S29+T29)&gt;C29</formula>
    </cfRule>
  </conditionalFormatting>
  <conditionalFormatting sqref="C10">
    <cfRule type="expression" dxfId="81" priority="86">
      <formula>"(S10+T10)&gt;C10 "</formula>
    </cfRule>
  </conditionalFormatting>
  <conditionalFormatting sqref="T10">
    <cfRule type="expression" dxfId="80" priority="84" stopIfTrue="1">
      <formula>(S10+T10)&gt;C10</formula>
    </cfRule>
  </conditionalFormatting>
  <conditionalFormatting sqref="T13">
    <cfRule type="expression" dxfId="79" priority="82" stopIfTrue="1">
      <formula>(S13+T13)&gt;C13</formula>
    </cfRule>
  </conditionalFormatting>
  <conditionalFormatting sqref="T14">
    <cfRule type="expression" dxfId="78" priority="81" stopIfTrue="1">
      <formula>(S14+T14)&gt;C14</formula>
    </cfRule>
  </conditionalFormatting>
  <conditionalFormatting sqref="T17">
    <cfRule type="expression" dxfId="77" priority="80" stopIfTrue="1">
      <formula>(S17+T17)&gt;C17</formula>
    </cfRule>
  </conditionalFormatting>
  <conditionalFormatting sqref="T18">
    <cfRule type="expression" dxfId="76" priority="63" stopIfTrue="1">
      <formula>(S18+T18)&gt;C18</formula>
    </cfRule>
  </conditionalFormatting>
  <conditionalFormatting sqref="T19">
    <cfRule type="expression" dxfId="75" priority="62" stopIfTrue="1">
      <formula>(S19+T19)&gt;C19</formula>
    </cfRule>
  </conditionalFormatting>
  <conditionalFormatting sqref="T20">
    <cfRule type="expression" dxfId="74" priority="61" stopIfTrue="1">
      <formula>(S20+T20)&gt;C20</formula>
    </cfRule>
  </conditionalFormatting>
  <conditionalFormatting sqref="T21">
    <cfRule type="expression" dxfId="73" priority="60" stopIfTrue="1">
      <formula>(S21+T21)&gt;C21</formula>
    </cfRule>
  </conditionalFormatting>
  <conditionalFormatting sqref="T22">
    <cfRule type="expression" dxfId="72" priority="59" stopIfTrue="1">
      <formula>(S22+T22)&gt;C22</formula>
    </cfRule>
  </conditionalFormatting>
  <conditionalFormatting sqref="T23:T24">
    <cfRule type="expression" dxfId="71" priority="58" stopIfTrue="1">
      <formula>(S23+T23)&gt;C23</formula>
    </cfRule>
  </conditionalFormatting>
  <conditionalFormatting sqref="T25">
    <cfRule type="expression" dxfId="70" priority="57" stopIfTrue="1">
      <formula>(S25+T25)&gt;C25</formula>
    </cfRule>
  </conditionalFormatting>
  <conditionalFormatting sqref="T27">
    <cfRule type="expression" dxfId="69" priority="55" stopIfTrue="1">
      <formula>(S27+T27)&gt;C27</formula>
    </cfRule>
  </conditionalFormatting>
  <conditionalFormatting sqref="T29">
    <cfRule type="expression" dxfId="68" priority="54" stopIfTrue="1">
      <formula>(S29+T29)&gt;C29</formula>
    </cfRule>
  </conditionalFormatting>
  <conditionalFormatting sqref="T30">
    <cfRule type="expression" dxfId="67" priority="52" stopIfTrue="1">
      <formula>(S30+T30)&gt;C30</formula>
    </cfRule>
  </conditionalFormatting>
  <conditionalFormatting sqref="T31">
    <cfRule type="expression" dxfId="66" priority="51" stopIfTrue="1">
      <formula>(S31+T31)&gt;C31</formula>
    </cfRule>
  </conditionalFormatting>
  <conditionalFormatting sqref="T32">
    <cfRule type="expression" dxfId="65" priority="50" stopIfTrue="1">
      <formula>(S32+T32)&gt;C32</formula>
    </cfRule>
  </conditionalFormatting>
  <conditionalFormatting sqref="T33">
    <cfRule type="expression" dxfId="64" priority="49" stopIfTrue="1">
      <formula>(S33+T33)&gt;C33</formula>
    </cfRule>
  </conditionalFormatting>
  <conditionalFormatting sqref="T34">
    <cfRule type="expression" dxfId="63" priority="48" stopIfTrue="1">
      <formula>(S34+T34)&gt;C34</formula>
    </cfRule>
  </conditionalFormatting>
  <conditionalFormatting sqref="T35:T36">
    <cfRule type="expression" dxfId="62" priority="47" stopIfTrue="1">
      <formula>(S35+T35)&gt;C35</formula>
    </cfRule>
  </conditionalFormatting>
  <conditionalFormatting sqref="T37">
    <cfRule type="expression" dxfId="61" priority="46" stopIfTrue="1">
      <formula>(S37+T37)&gt;C37</formula>
    </cfRule>
  </conditionalFormatting>
  <conditionalFormatting sqref="T40">
    <cfRule type="expression" dxfId="60" priority="45" stopIfTrue="1">
      <formula>(S40+T40)&gt;C40</formula>
    </cfRule>
  </conditionalFormatting>
  <conditionalFormatting sqref="T41">
    <cfRule type="expression" dxfId="59" priority="44" stopIfTrue="1">
      <formula>(S41+T41)&gt;C41</formula>
    </cfRule>
  </conditionalFormatting>
  <conditionalFormatting sqref="T43">
    <cfRule type="expression" dxfId="58" priority="43" stopIfTrue="1">
      <formula>(S43+T43)&gt;C43</formula>
    </cfRule>
  </conditionalFormatting>
  <conditionalFormatting sqref="T45">
    <cfRule type="expression" dxfId="57" priority="42" stopIfTrue="1">
      <formula>(S45+T45)&gt;C45</formula>
    </cfRule>
  </conditionalFormatting>
  <conditionalFormatting sqref="T46">
    <cfRule type="expression" dxfId="56" priority="41" stopIfTrue="1">
      <formula>(S46+T46)&gt;C46</formula>
    </cfRule>
  </conditionalFormatting>
  <conditionalFormatting sqref="T47">
    <cfRule type="expression" dxfId="55" priority="40" stopIfTrue="1">
      <formula>(S47+T47)&gt;C47</formula>
    </cfRule>
  </conditionalFormatting>
  <conditionalFormatting sqref="T48">
    <cfRule type="expression" dxfId="54" priority="39" stopIfTrue="1">
      <formula>(S48+T48)&gt;C48</formula>
    </cfRule>
  </conditionalFormatting>
  <conditionalFormatting sqref="T49">
    <cfRule type="expression" dxfId="53" priority="38" stopIfTrue="1">
      <formula>(S49+T49)&gt;C49</formula>
    </cfRule>
  </conditionalFormatting>
  <conditionalFormatting sqref="T50">
    <cfRule type="expression" dxfId="52" priority="37" stopIfTrue="1">
      <formula>(S50+T50)&gt;C50</formula>
    </cfRule>
  </conditionalFormatting>
  <conditionalFormatting sqref="T51">
    <cfRule type="expression" dxfId="51" priority="36" stopIfTrue="1">
      <formula>(S51+T51)&gt;C51</formula>
    </cfRule>
  </conditionalFormatting>
  <conditionalFormatting sqref="T52">
    <cfRule type="expression" dxfId="50" priority="35" stopIfTrue="1">
      <formula>(S52+T52)&gt;C52</formula>
    </cfRule>
  </conditionalFormatting>
  <conditionalFormatting sqref="T53">
    <cfRule type="expression" dxfId="49" priority="33" stopIfTrue="1">
      <formula>(S53+T53)&gt;C53</formula>
    </cfRule>
  </conditionalFormatting>
  <conditionalFormatting sqref="T65:T68">
    <cfRule type="expression" dxfId="48" priority="32" stopIfTrue="1">
      <formula>(S65+T65)&gt;C65</formula>
    </cfRule>
  </conditionalFormatting>
  <conditionalFormatting sqref="T69">
    <cfRule type="expression" dxfId="47" priority="31" stopIfTrue="1">
      <formula>(S69+T69)&gt;C69</formula>
    </cfRule>
  </conditionalFormatting>
  <conditionalFormatting sqref="T79">
    <cfRule type="expression" dxfId="46" priority="30" stopIfTrue="1">
      <formula>(S79+T79)&gt;C79</formula>
    </cfRule>
  </conditionalFormatting>
  <conditionalFormatting sqref="T80">
    <cfRule type="expression" dxfId="45" priority="29" stopIfTrue="1">
      <formula>(S80+T80)&gt;C80</formula>
    </cfRule>
  </conditionalFormatting>
  <conditionalFormatting sqref="T84">
    <cfRule type="expression" dxfId="44" priority="28" stopIfTrue="1">
      <formula>(S84+T84)&gt;C84</formula>
    </cfRule>
  </conditionalFormatting>
  <conditionalFormatting sqref="T85">
    <cfRule type="expression" dxfId="43" priority="27" stopIfTrue="1">
      <formula>(S85+T85)&gt;C85</formula>
    </cfRule>
  </conditionalFormatting>
  <conditionalFormatting sqref="T86">
    <cfRule type="expression" dxfId="42" priority="26" stopIfTrue="1">
      <formula>(S86+T86)&gt;C86</formula>
    </cfRule>
  </conditionalFormatting>
  <conditionalFormatting sqref="T87">
    <cfRule type="expression" dxfId="41" priority="25" stopIfTrue="1">
      <formula>(S87+T87)&gt;C87</formula>
    </cfRule>
  </conditionalFormatting>
  <conditionalFormatting sqref="T89">
    <cfRule type="expression" dxfId="40" priority="24" stopIfTrue="1">
      <formula>(S89+T89)&gt;C89</formula>
    </cfRule>
  </conditionalFormatting>
  <conditionalFormatting sqref="T90">
    <cfRule type="expression" dxfId="39" priority="23" stopIfTrue="1">
      <formula>(S90+T90)&gt;C90</formula>
    </cfRule>
  </conditionalFormatting>
  <conditionalFormatting sqref="T91">
    <cfRule type="expression" dxfId="38" priority="22" stopIfTrue="1">
      <formula>(S91+T91)&gt;C91</formula>
    </cfRule>
  </conditionalFormatting>
  <conditionalFormatting sqref="T92">
    <cfRule type="expression" dxfId="37" priority="21" stopIfTrue="1">
      <formula>(S92+T92)&gt;C92</formula>
    </cfRule>
  </conditionalFormatting>
  <conditionalFormatting sqref="T93">
    <cfRule type="expression" dxfId="36" priority="20" stopIfTrue="1">
      <formula>(S93+T93)&gt;C93</formula>
    </cfRule>
  </conditionalFormatting>
  <conditionalFormatting sqref="T94">
    <cfRule type="expression" dxfId="35" priority="19" stopIfTrue="1">
      <formula>(S94+T94)&gt;C94</formula>
    </cfRule>
  </conditionalFormatting>
  <conditionalFormatting sqref="T95">
    <cfRule type="expression" dxfId="34" priority="18" stopIfTrue="1">
      <formula>(S95+T95)&gt;C95</formula>
    </cfRule>
  </conditionalFormatting>
  <conditionalFormatting sqref="T99">
    <cfRule type="expression" dxfId="33" priority="15" stopIfTrue="1">
      <formula>(S99+T99)&gt;C99</formula>
    </cfRule>
  </conditionalFormatting>
  <conditionalFormatting sqref="T100">
    <cfRule type="expression" dxfId="32" priority="14" stopIfTrue="1">
      <formula>(S100+T100)&gt;C100</formula>
    </cfRule>
  </conditionalFormatting>
  <conditionalFormatting sqref="T101">
    <cfRule type="expression" dxfId="31" priority="12" stopIfTrue="1">
      <formula>(S101+T101)&gt;C101</formula>
    </cfRule>
  </conditionalFormatting>
  <conditionalFormatting sqref="T102">
    <cfRule type="expression" dxfId="30" priority="11" stopIfTrue="1">
      <formula>(S102+T102)&gt;C102</formula>
    </cfRule>
  </conditionalFormatting>
  <conditionalFormatting sqref="T103">
    <cfRule type="expression" dxfId="29" priority="10" stopIfTrue="1">
      <formula>(S103+T103)&gt;C103</formula>
    </cfRule>
  </conditionalFormatting>
  <conditionalFormatting sqref="S30:S37">
    <cfRule type="expression" dxfId="28" priority="9" stopIfTrue="1">
      <formula>(S30+T30)&gt;C30</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S69">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S103">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 zoomScale="85" zoomScaleNormal="85" zoomScaleSheetLayoutView="100" workbookViewId="0">
      <selection activeCell="D14" sqref="D14"/>
    </sheetView>
  </sheetViews>
  <sheetFormatPr defaultColWidth="0" defaultRowHeight="12" zeroHeight="1"/>
  <cols>
    <col min="1" max="1" width="32.7109375" style="611" customWidth="1"/>
    <col min="2" max="3" width="12.28515625" style="604" customWidth="1"/>
    <col min="4" max="6" width="12.7109375" style="604" customWidth="1"/>
    <col min="7" max="9" width="12.28515625" style="604" customWidth="1"/>
    <col min="10" max="10" width="12.28515625" style="605" customWidth="1"/>
    <col min="11" max="11" width="8.7109375" style="606" hidden="1" customWidth="1"/>
    <col min="12" max="21" width="8.7109375" style="604" hidden="1" customWidth="1"/>
    <col min="22" max="23" width="0" style="604" hidden="1"/>
    <col min="24" max="256" width="8.7109375" style="604" hidden="1"/>
    <col min="257" max="257" width="32.7109375" style="604" hidden="1" customWidth="1"/>
    <col min="258" max="259" width="12.28515625" style="604" hidden="1" customWidth="1"/>
    <col min="260" max="260" width="12.7109375" style="604" hidden="1" customWidth="1"/>
    <col min="261" max="266" width="12.28515625" style="604" hidden="1" customWidth="1"/>
    <col min="267" max="277" width="8.7109375" style="604" hidden="1" customWidth="1"/>
    <col min="278" max="512" width="8.7109375" style="604" hidden="1"/>
    <col min="513" max="513" width="32.7109375" style="604" hidden="1" customWidth="1"/>
    <col min="514" max="515" width="12.28515625" style="604" hidden="1" customWidth="1"/>
    <col min="516" max="516" width="12.7109375" style="604" hidden="1" customWidth="1"/>
    <col min="517" max="522" width="12.28515625" style="604" hidden="1" customWidth="1"/>
    <col min="523" max="533" width="8.7109375" style="604" hidden="1" customWidth="1"/>
    <col min="534" max="768" width="8.7109375" style="604" hidden="1"/>
    <col min="769" max="769" width="32.7109375" style="604" hidden="1" customWidth="1"/>
    <col min="770" max="771" width="12.28515625" style="604" hidden="1" customWidth="1"/>
    <col min="772" max="772" width="12.7109375" style="604" hidden="1" customWidth="1"/>
    <col min="773" max="778" width="12.28515625" style="604" hidden="1" customWidth="1"/>
    <col min="779" max="789" width="8.7109375" style="604" hidden="1" customWidth="1"/>
    <col min="790" max="1024" width="8.7109375" style="604" hidden="1"/>
    <col min="1025" max="1025" width="32.7109375" style="604" hidden="1" customWidth="1"/>
    <col min="1026" max="1027" width="12.28515625" style="604" hidden="1" customWidth="1"/>
    <col min="1028" max="1028" width="12.7109375" style="604" hidden="1" customWidth="1"/>
    <col min="1029" max="1034" width="12.28515625" style="604" hidden="1" customWidth="1"/>
    <col min="1035" max="1045" width="8.7109375" style="604" hidden="1" customWidth="1"/>
    <col min="1046" max="1280" width="8.7109375" style="604" hidden="1"/>
    <col min="1281" max="1281" width="32.7109375" style="604" hidden="1" customWidth="1"/>
    <col min="1282" max="1283" width="12.28515625" style="604" hidden="1" customWidth="1"/>
    <col min="1284" max="1284" width="12.7109375" style="604" hidden="1" customWidth="1"/>
    <col min="1285" max="1290" width="12.28515625" style="604" hidden="1" customWidth="1"/>
    <col min="1291" max="1301" width="8.7109375" style="604" hidden="1" customWidth="1"/>
    <col min="1302" max="1536" width="8.7109375" style="604" hidden="1"/>
    <col min="1537" max="1537" width="32.7109375" style="604" hidden="1" customWidth="1"/>
    <col min="1538" max="1539" width="12.28515625" style="604" hidden="1" customWidth="1"/>
    <col min="1540" max="1540" width="12.7109375" style="604" hidden="1" customWidth="1"/>
    <col min="1541" max="1546" width="12.28515625" style="604" hidden="1" customWidth="1"/>
    <col min="1547" max="1557" width="8.7109375" style="604" hidden="1" customWidth="1"/>
    <col min="1558" max="1792" width="8.7109375" style="604" hidden="1"/>
    <col min="1793" max="1793" width="32.7109375" style="604" hidden="1" customWidth="1"/>
    <col min="1794" max="1795" width="12.28515625" style="604" hidden="1" customWidth="1"/>
    <col min="1796" max="1796" width="12.7109375" style="604" hidden="1" customWidth="1"/>
    <col min="1797" max="1802" width="12.28515625" style="604" hidden="1" customWidth="1"/>
    <col min="1803" max="1813" width="8.7109375" style="604" hidden="1" customWidth="1"/>
    <col min="1814" max="2048" width="8.7109375" style="604" hidden="1"/>
    <col min="2049" max="2049" width="32.7109375" style="604" hidden="1" customWidth="1"/>
    <col min="2050" max="2051" width="12.28515625" style="604" hidden="1" customWidth="1"/>
    <col min="2052" max="2052" width="12.7109375" style="604" hidden="1" customWidth="1"/>
    <col min="2053" max="2058" width="12.28515625" style="604" hidden="1" customWidth="1"/>
    <col min="2059" max="2069" width="8.7109375" style="604" hidden="1" customWidth="1"/>
    <col min="2070" max="2304" width="8.7109375" style="604" hidden="1"/>
    <col min="2305" max="2305" width="32.7109375" style="604" hidden="1" customWidth="1"/>
    <col min="2306" max="2307" width="12.28515625" style="604" hidden="1" customWidth="1"/>
    <col min="2308" max="2308" width="12.7109375" style="604" hidden="1" customWidth="1"/>
    <col min="2309" max="2314" width="12.28515625" style="604" hidden="1" customWidth="1"/>
    <col min="2315" max="2325" width="8.7109375" style="604" hidden="1" customWidth="1"/>
    <col min="2326" max="2560" width="8.7109375" style="604" hidden="1"/>
    <col min="2561" max="2561" width="32.7109375" style="604" hidden="1" customWidth="1"/>
    <col min="2562" max="2563" width="12.28515625" style="604" hidden="1" customWidth="1"/>
    <col min="2564" max="2564" width="12.7109375" style="604" hidden="1" customWidth="1"/>
    <col min="2565" max="2570" width="12.28515625" style="604" hidden="1" customWidth="1"/>
    <col min="2571" max="2581" width="8.7109375" style="604" hidden="1" customWidth="1"/>
    <col min="2582" max="2816" width="8.7109375" style="604" hidden="1"/>
    <col min="2817" max="2817" width="32.7109375" style="604" hidden="1" customWidth="1"/>
    <col min="2818" max="2819" width="12.28515625" style="604" hidden="1" customWidth="1"/>
    <col min="2820" max="2820" width="12.7109375" style="604" hidden="1" customWidth="1"/>
    <col min="2821" max="2826" width="12.28515625" style="604" hidden="1" customWidth="1"/>
    <col min="2827" max="2837" width="8.7109375" style="604" hidden="1" customWidth="1"/>
    <col min="2838" max="3072" width="8.7109375" style="604" hidden="1"/>
    <col min="3073" max="3073" width="32.7109375" style="604" hidden="1" customWidth="1"/>
    <col min="3074" max="3075" width="12.28515625" style="604" hidden="1" customWidth="1"/>
    <col min="3076" max="3076" width="12.7109375" style="604" hidden="1" customWidth="1"/>
    <col min="3077" max="3082" width="12.28515625" style="604" hidden="1" customWidth="1"/>
    <col min="3083" max="3093" width="8.7109375" style="604" hidden="1" customWidth="1"/>
    <col min="3094" max="3328" width="8.7109375" style="604" hidden="1"/>
    <col min="3329" max="3329" width="32.7109375" style="604" hidden="1" customWidth="1"/>
    <col min="3330" max="3331" width="12.28515625" style="604" hidden="1" customWidth="1"/>
    <col min="3332" max="3332" width="12.7109375" style="604" hidden="1" customWidth="1"/>
    <col min="3333" max="3338" width="12.28515625" style="604" hidden="1" customWidth="1"/>
    <col min="3339" max="3349" width="8.7109375" style="604" hidden="1" customWidth="1"/>
    <col min="3350" max="3584" width="8.7109375" style="604" hidden="1"/>
    <col min="3585" max="3585" width="32.7109375" style="604" hidden="1" customWidth="1"/>
    <col min="3586" max="3587" width="12.28515625" style="604" hidden="1" customWidth="1"/>
    <col min="3588" max="3588" width="12.7109375" style="604" hidden="1" customWidth="1"/>
    <col min="3589" max="3594" width="12.28515625" style="604" hidden="1" customWidth="1"/>
    <col min="3595" max="3605" width="8.7109375" style="604" hidden="1" customWidth="1"/>
    <col min="3606" max="3840" width="8.7109375" style="604" hidden="1"/>
    <col min="3841" max="3841" width="32.7109375" style="604" hidden="1" customWidth="1"/>
    <col min="3842" max="3843" width="12.28515625" style="604" hidden="1" customWidth="1"/>
    <col min="3844" max="3844" width="12.7109375" style="604" hidden="1" customWidth="1"/>
    <col min="3845" max="3850" width="12.28515625" style="604" hidden="1" customWidth="1"/>
    <col min="3851" max="3861" width="8.7109375" style="604" hidden="1" customWidth="1"/>
    <col min="3862" max="4096" width="8.7109375" style="604" hidden="1"/>
    <col min="4097" max="4097" width="32.7109375" style="604" hidden="1" customWidth="1"/>
    <col min="4098" max="4099" width="12.28515625" style="604" hidden="1" customWidth="1"/>
    <col min="4100" max="4100" width="12.7109375" style="604" hidden="1" customWidth="1"/>
    <col min="4101" max="4106" width="12.28515625" style="604" hidden="1" customWidth="1"/>
    <col min="4107" max="4117" width="8.7109375" style="604" hidden="1" customWidth="1"/>
    <col min="4118" max="4352" width="8.7109375" style="604" hidden="1"/>
    <col min="4353" max="4353" width="32.7109375" style="604" hidden="1" customWidth="1"/>
    <col min="4354" max="4355" width="12.28515625" style="604" hidden="1" customWidth="1"/>
    <col min="4356" max="4356" width="12.7109375" style="604" hidden="1" customWidth="1"/>
    <col min="4357" max="4362" width="12.28515625" style="604" hidden="1" customWidth="1"/>
    <col min="4363" max="4373" width="8.7109375" style="604" hidden="1" customWidth="1"/>
    <col min="4374" max="4608" width="8.7109375" style="604" hidden="1"/>
    <col min="4609" max="4609" width="32.7109375" style="604" hidden="1" customWidth="1"/>
    <col min="4610" max="4611" width="12.28515625" style="604" hidden="1" customWidth="1"/>
    <col min="4612" max="4612" width="12.7109375" style="604" hidden="1" customWidth="1"/>
    <col min="4613" max="4618" width="12.28515625" style="604" hidden="1" customWidth="1"/>
    <col min="4619" max="4629" width="8.7109375" style="604" hidden="1" customWidth="1"/>
    <col min="4630" max="4864" width="8.7109375" style="604" hidden="1"/>
    <col min="4865" max="4865" width="32.7109375" style="604" hidden="1" customWidth="1"/>
    <col min="4866" max="4867" width="12.28515625" style="604" hidden="1" customWidth="1"/>
    <col min="4868" max="4868" width="12.7109375" style="604" hidden="1" customWidth="1"/>
    <col min="4869" max="4874" width="12.28515625" style="604" hidden="1" customWidth="1"/>
    <col min="4875" max="4885" width="8.7109375" style="604" hidden="1" customWidth="1"/>
    <col min="4886" max="5120" width="8.7109375" style="604" hidden="1"/>
    <col min="5121" max="5121" width="32.7109375" style="604" hidden="1" customWidth="1"/>
    <col min="5122" max="5123" width="12.28515625" style="604" hidden="1" customWidth="1"/>
    <col min="5124" max="5124" width="12.7109375" style="604" hidden="1" customWidth="1"/>
    <col min="5125" max="5130" width="12.28515625" style="604" hidden="1" customWidth="1"/>
    <col min="5131" max="5141" width="8.7109375" style="604" hidden="1" customWidth="1"/>
    <col min="5142" max="5376" width="8.7109375" style="604" hidden="1"/>
    <col min="5377" max="5377" width="32.7109375" style="604" hidden="1" customWidth="1"/>
    <col min="5378" max="5379" width="12.28515625" style="604" hidden="1" customWidth="1"/>
    <col min="5380" max="5380" width="12.7109375" style="604" hidden="1" customWidth="1"/>
    <col min="5381" max="5386" width="12.28515625" style="604" hidden="1" customWidth="1"/>
    <col min="5387" max="5397" width="8.7109375" style="604" hidden="1" customWidth="1"/>
    <col min="5398" max="5632" width="8.7109375" style="604" hidden="1"/>
    <col min="5633" max="5633" width="32.7109375" style="604" hidden="1" customWidth="1"/>
    <col min="5634" max="5635" width="12.28515625" style="604" hidden="1" customWidth="1"/>
    <col min="5636" max="5636" width="12.7109375" style="604" hidden="1" customWidth="1"/>
    <col min="5637" max="5642" width="12.28515625" style="604" hidden="1" customWidth="1"/>
    <col min="5643" max="5653" width="8.7109375" style="604" hidden="1" customWidth="1"/>
    <col min="5654" max="5888" width="8.7109375" style="604" hidden="1"/>
    <col min="5889" max="5889" width="32.7109375" style="604" hidden="1" customWidth="1"/>
    <col min="5890" max="5891" width="12.28515625" style="604" hidden="1" customWidth="1"/>
    <col min="5892" max="5892" width="12.7109375" style="604" hidden="1" customWidth="1"/>
    <col min="5893" max="5898" width="12.28515625" style="604" hidden="1" customWidth="1"/>
    <col min="5899" max="5909" width="8.7109375" style="604" hidden="1" customWidth="1"/>
    <col min="5910" max="6144" width="8.7109375" style="604" hidden="1"/>
    <col min="6145" max="6145" width="32.7109375" style="604" hidden="1" customWidth="1"/>
    <col min="6146" max="6147" width="12.28515625" style="604" hidden="1" customWidth="1"/>
    <col min="6148" max="6148" width="12.7109375" style="604" hidden="1" customWidth="1"/>
    <col min="6149" max="6154" width="12.28515625" style="604" hidden="1" customWidth="1"/>
    <col min="6155" max="6165" width="8.7109375" style="604" hidden="1" customWidth="1"/>
    <col min="6166" max="6400" width="8.7109375" style="604" hidden="1"/>
    <col min="6401" max="6401" width="32.7109375" style="604" hidden="1" customWidth="1"/>
    <col min="6402" max="6403" width="12.28515625" style="604" hidden="1" customWidth="1"/>
    <col min="6404" max="6404" width="12.7109375" style="604" hidden="1" customWidth="1"/>
    <col min="6405" max="6410" width="12.28515625" style="604" hidden="1" customWidth="1"/>
    <col min="6411" max="6421" width="8.7109375" style="604" hidden="1" customWidth="1"/>
    <col min="6422" max="6656" width="8.7109375" style="604" hidden="1"/>
    <col min="6657" max="6657" width="32.7109375" style="604" hidden="1" customWidth="1"/>
    <col min="6658" max="6659" width="12.28515625" style="604" hidden="1" customWidth="1"/>
    <col min="6660" max="6660" width="12.7109375" style="604" hidden="1" customWidth="1"/>
    <col min="6661" max="6666" width="12.28515625" style="604" hidden="1" customWidth="1"/>
    <col min="6667" max="6677" width="8.7109375" style="604" hidden="1" customWidth="1"/>
    <col min="6678" max="6912" width="8.7109375" style="604" hidden="1"/>
    <col min="6913" max="6913" width="32.7109375" style="604" hidden="1" customWidth="1"/>
    <col min="6914" max="6915" width="12.28515625" style="604" hidden="1" customWidth="1"/>
    <col min="6916" max="6916" width="12.7109375" style="604" hidden="1" customWidth="1"/>
    <col min="6917" max="6922" width="12.28515625" style="604" hidden="1" customWidth="1"/>
    <col min="6923" max="6933" width="8.7109375" style="604" hidden="1" customWidth="1"/>
    <col min="6934" max="7168" width="8.7109375" style="604" hidden="1"/>
    <col min="7169" max="7169" width="32.7109375" style="604" hidden="1" customWidth="1"/>
    <col min="7170" max="7171" width="12.28515625" style="604" hidden="1" customWidth="1"/>
    <col min="7172" max="7172" width="12.7109375" style="604" hidden="1" customWidth="1"/>
    <col min="7173" max="7178" width="12.28515625" style="604" hidden="1" customWidth="1"/>
    <col min="7179" max="7189" width="8.7109375" style="604" hidden="1" customWidth="1"/>
    <col min="7190" max="7424" width="8.7109375" style="604" hidden="1"/>
    <col min="7425" max="7425" width="32.7109375" style="604" hidden="1" customWidth="1"/>
    <col min="7426" max="7427" width="12.28515625" style="604" hidden="1" customWidth="1"/>
    <col min="7428" max="7428" width="12.7109375" style="604" hidden="1" customWidth="1"/>
    <col min="7429" max="7434" width="12.28515625" style="604" hidden="1" customWidth="1"/>
    <col min="7435" max="7445" width="8.7109375" style="604" hidden="1" customWidth="1"/>
    <col min="7446" max="7680" width="8.7109375" style="604" hidden="1"/>
    <col min="7681" max="7681" width="32.7109375" style="604" hidden="1" customWidth="1"/>
    <col min="7682" max="7683" width="12.28515625" style="604" hidden="1" customWidth="1"/>
    <col min="7684" max="7684" width="12.7109375" style="604" hidden="1" customWidth="1"/>
    <col min="7685" max="7690" width="12.28515625" style="604" hidden="1" customWidth="1"/>
    <col min="7691" max="7701" width="8.7109375" style="604" hidden="1" customWidth="1"/>
    <col min="7702" max="7936" width="8.7109375" style="604" hidden="1"/>
    <col min="7937" max="7937" width="32.7109375" style="604" hidden="1" customWidth="1"/>
    <col min="7938" max="7939" width="12.28515625" style="604" hidden="1" customWidth="1"/>
    <col min="7940" max="7940" width="12.7109375" style="604" hidden="1" customWidth="1"/>
    <col min="7941" max="7946" width="12.28515625" style="604" hidden="1" customWidth="1"/>
    <col min="7947" max="7957" width="8.7109375" style="604" hidden="1" customWidth="1"/>
    <col min="7958" max="8192" width="8.7109375" style="604" hidden="1"/>
    <col min="8193" max="8193" width="32.7109375" style="604" hidden="1" customWidth="1"/>
    <col min="8194" max="8195" width="12.28515625" style="604" hidden="1" customWidth="1"/>
    <col min="8196" max="8196" width="12.7109375" style="604" hidden="1" customWidth="1"/>
    <col min="8197" max="8202" width="12.28515625" style="604" hidden="1" customWidth="1"/>
    <col min="8203" max="8213" width="8.7109375" style="604" hidden="1" customWidth="1"/>
    <col min="8214" max="8448" width="8.7109375" style="604" hidden="1"/>
    <col min="8449" max="8449" width="32.7109375" style="604" hidden="1" customWidth="1"/>
    <col min="8450" max="8451" width="12.28515625" style="604" hidden="1" customWidth="1"/>
    <col min="8452" max="8452" width="12.7109375" style="604" hidden="1" customWidth="1"/>
    <col min="8453" max="8458" width="12.28515625" style="604" hidden="1" customWidth="1"/>
    <col min="8459" max="8469" width="8.7109375" style="604" hidden="1" customWidth="1"/>
    <col min="8470" max="8704" width="8.7109375" style="604" hidden="1"/>
    <col min="8705" max="8705" width="32.7109375" style="604" hidden="1" customWidth="1"/>
    <col min="8706" max="8707" width="12.28515625" style="604" hidden="1" customWidth="1"/>
    <col min="8708" max="8708" width="12.7109375" style="604" hidden="1" customWidth="1"/>
    <col min="8709" max="8714" width="12.28515625" style="604" hidden="1" customWidth="1"/>
    <col min="8715" max="8725" width="8.7109375" style="604" hidden="1" customWidth="1"/>
    <col min="8726" max="8960" width="8.7109375" style="604" hidden="1"/>
    <col min="8961" max="8961" width="32.7109375" style="604" hidden="1" customWidth="1"/>
    <col min="8962" max="8963" width="12.28515625" style="604" hidden="1" customWidth="1"/>
    <col min="8964" max="8964" width="12.7109375" style="604" hidden="1" customWidth="1"/>
    <col min="8965" max="8970" width="12.28515625" style="604" hidden="1" customWidth="1"/>
    <col min="8971" max="8981" width="8.7109375" style="604" hidden="1" customWidth="1"/>
    <col min="8982" max="9216" width="8.7109375" style="604" hidden="1"/>
    <col min="9217" max="9217" width="32.7109375" style="604" hidden="1" customWidth="1"/>
    <col min="9218" max="9219" width="12.28515625" style="604" hidden="1" customWidth="1"/>
    <col min="9220" max="9220" width="12.7109375" style="604" hidden="1" customWidth="1"/>
    <col min="9221" max="9226" width="12.28515625" style="604" hidden="1" customWidth="1"/>
    <col min="9227" max="9237" width="8.7109375" style="604" hidden="1" customWidth="1"/>
    <col min="9238" max="9472" width="8.7109375" style="604" hidden="1"/>
    <col min="9473" max="9473" width="32.7109375" style="604" hidden="1" customWidth="1"/>
    <col min="9474" max="9475" width="12.28515625" style="604" hidden="1" customWidth="1"/>
    <col min="9476" max="9476" width="12.7109375" style="604" hidden="1" customWidth="1"/>
    <col min="9477" max="9482" width="12.28515625" style="604" hidden="1" customWidth="1"/>
    <col min="9483" max="9493" width="8.7109375" style="604" hidden="1" customWidth="1"/>
    <col min="9494" max="9728" width="8.7109375" style="604" hidden="1"/>
    <col min="9729" max="9729" width="32.7109375" style="604" hidden="1" customWidth="1"/>
    <col min="9730" max="9731" width="12.28515625" style="604" hidden="1" customWidth="1"/>
    <col min="9732" max="9732" width="12.7109375" style="604" hidden="1" customWidth="1"/>
    <col min="9733" max="9738" width="12.28515625" style="604" hidden="1" customWidth="1"/>
    <col min="9739" max="9749" width="8.7109375" style="604" hidden="1" customWidth="1"/>
    <col min="9750" max="9984" width="8.7109375" style="604" hidden="1"/>
    <col min="9985" max="9985" width="32.7109375" style="604" hidden="1" customWidth="1"/>
    <col min="9986" max="9987" width="12.28515625" style="604" hidden="1" customWidth="1"/>
    <col min="9988" max="9988" width="12.7109375" style="604" hidden="1" customWidth="1"/>
    <col min="9989" max="9994" width="12.28515625" style="604" hidden="1" customWidth="1"/>
    <col min="9995" max="10005" width="8.7109375" style="604" hidden="1" customWidth="1"/>
    <col min="10006" max="10240" width="8.7109375" style="604" hidden="1"/>
    <col min="10241" max="10241" width="32.7109375" style="604" hidden="1" customWidth="1"/>
    <col min="10242" max="10243" width="12.28515625" style="604" hidden="1" customWidth="1"/>
    <col min="10244" max="10244" width="12.7109375" style="604" hidden="1" customWidth="1"/>
    <col min="10245" max="10250" width="12.28515625" style="604" hidden="1" customWidth="1"/>
    <col min="10251" max="10261" width="8.7109375" style="604" hidden="1" customWidth="1"/>
    <col min="10262" max="10496" width="8.7109375" style="604" hidden="1"/>
    <col min="10497" max="10497" width="32.7109375" style="604" hidden="1" customWidth="1"/>
    <col min="10498" max="10499" width="12.28515625" style="604" hidden="1" customWidth="1"/>
    <col min="10500" max="10500" width="12.7109375" style="604" hidden="1" customWidth="1"/>
    <col min="10501" max="10506" width="12.28515625" style="604" hidden="1" customWidth="1"/>
    <col min="10507" max="10517" width="8.7109375" style="604" hidden="1" customWidth="1"/>
    <col min="10518" max="10752" width="8.7109375" style="604" hidden="1"/>
    <col min="10753" max="10753" width="32.7109375" style="604" hidden="1" customWidth="1"/>
    <col min="10754" max="10755" width="12.28515625" style="604" hidden="1" customWidth="1"/>
    <col min="10756" max="10756" width="12.7109375" style="604" hidden="1" customWidth="1"/>
    <col min="10757" max="10762" width="12.28515625" style="604" hidden="1" customWidth="1"/>
    <col min="10763" max="10773" width="8.7109375" style="604" hidden="1" customWidth="1"/>
    <col min="10774" max="11008" width="8.7109375" style="604" hidden="1"/>
    <col min="11009" max="11009" width="32.7109375" style="604" hidden="1" customWidth="1"/>
    <col min="11010" max="11011" width="12.28515625" style="604" hidden="1" customWidth="1"/>
    <col min="11012" max="11012" width="12.7109375" style="604" hidden="1" customWidth="1"/>
    <col min="11013" max="11018" width="12.28515625" style="604" hidden="1" customWidth="1"/>
    <col min="11019" max="11029" width="8.7109375" style="604" hidden="1" customWidth="1"/>
    <col min="11030" max="11264" width="8.7109375" style="604" hidden="1"/>
    <col min="11265" max="11265" width="32.7109375" style="604" hidden="1" customWidth="1"/>
    <col min="11266" max="11267" width="12.28515625" style="604" hidden="1" customWidth="1"/>
    <col min="11268" max="11268" width="12.7109375" style="604" hidden="1" customWidth="1"/>
    <col min="11269" max="11274" width="12.28515625" style="604" hidden="1" customWidth="1"/>
    <col min="11275" max="11285" width="8.7109375" style="604" hidden="1" customWidth="1"/>
    <col min="11286" max="11520" width="8.7109375" style="604" hidden="1"/>
    <col min="11521" max="11521" width="32.7109375" style="604" hidden="1" customWidth="1"/>
    <col min="11522" max="11523" width="12.28515625" style="604" hidden="1" customWidth="1"/>
    <col min="11524" max="11524" width="12.7109375" style="604" hidden="1" customWidth="1"/>
    <col min="11525" max="11530" width="12.28515625" style="604" hidden="1" customWidth="1"/>
    <col min="11531" max="11541" width="8.7109375" style="604" hidden="1" customWidth="1"/>
    <col min="11542" max="11776" width="8.7109375" style="604" hidden="1"/>
    <col min="11777" max="11777" width="32.7109375" style="604" hidden="1" customWidth="1"/>
    <col min="11778" max="11779" width="12.28515625" style="604" hidden="1" customWidth="1"/>
    <col min="11780" max="11780" width="12.7109375" style="604" hidden="1" customWidth="1"/>
    <col min="11781" max="11786" width="12.28515625" style="604" hidden="1" customWidth="1"/>
    <col min="11787" max="11797" width="8.7109375" style="604" hidden="1" customWidth="1"/>
    <col min="11798" max="12032" width="8.7109375" style="604" hidden="1"/>
    <col min="12033" max="12033" width="32.7109375" style="604" hidden="1" customWidth="1"/>
    <col min="12034" max="12035" width="12.28515625" style="604" hidden="1" customWidth="1"/>
    <col min="12036" max="12036" width="12.7109375" style="604" hidden="1" customWidth="1"/>
    <col min="12037" max="12042" width="12.28515625" style="604" hidden="1" customWidth="1"/>
    <col min="12043" max="12053" width="8.7109375" style="604" hidden="1" customWidth="1"/>
    <col min="12054" max="12288" width="8.7109375" style="604" hidden="1"/>
    <col min="12289" max="12289" width="32.7109375" style="604" hidden="1" customWidth="1"/>
    <col min="12290" max="12291" width="12.28515625" style="604" hidden="1" customWidth="1"/>
    <col min="12292" max="12292" width="12.7109375" style="604" hidden="1" customWidth="1"/>
    <col min="12293" max="12298" width="12.28515625" style="604" hidden="1" customWidth="1"/>
    <col min="12299" max="12309" width="8.7109375" style="604" hidden="1" customWidth="1"/>
    <col min="12310" max="12544" width="8.7109375" style="604" hidden="1"/>
    <col min="12545" max="12545" width="32.7109375" style="604" hidden="1" customWidth="1"/>
    <col min="12546" max="12547" width="12.28515625" style="604" hidden="1" customWidth="1"/>
    <col min="12548" max="12548" width="12.7109375" style="604" hidden="1" customWidth="1"/>
    <col min="12549" max="12554" width="12.28515625" style="604" hidden="1" customWidth="1"/>
    <col min="12555" max="12565" width="8.7109375" style="604" hidden="1" customWidth="1"/>
    <col min="12566" max="12800" width="8.7109375" style="604" hidden="1"/>
    <col min="12801" max="12801" width="32.7109375" style="604" hidden="1" customWidth="1"/>
    <col min="12802" max="12803" width="12.28515625" style="604" hidden="1" customWidth="1"/>
    <col min="12804" max="12804" width="12.7109375" style="604" hidden="1" customWidth="1"/>
    <col min="12805" max="12810" width="12.28515625" style="604" hidden="1" customWidth="1"/>
    <col min="12811" max="12821" width="8.7109375" style="604" hidden="1" customWidth="1"/>
    <col min="12822" max="13056" width="8.7109375" style="604" hidden="1"/>
    <col min="13057" max="13057" width="32.7109375" style="604" hidden="1" customWidth="1"/>
    <col min="13058" max="13059" width="12.28515625" style="604" hidden="1" customWidth="1"/>
    <col min="13060" max="13060" width="12.7109375" style="604" hidden="1" customWidth="1"/>
    <col min="13061" max="13066" width="12.28515625" style="604" hidden="1" customWidth="1"/>
    <col min="13067" max="13077" width="8.7109375" style="604" hidden="1" customWidth="1"/>
    <col min="13078" max="13312" width="8.7109375" style="604" hidden="1"/>
    <col min="13313" max="13313" width="32.7109375" style="604" hidden="1" customWidth="1"/>
    <col min="13314" max="13315" width="12.28515625" style="604" hidden="1" customWidth="1"/>
    <col min="13316" max="13316" width="12.7109375" style="604" hidden="1" customWidth="1"/>
    <col min="13317" max="13322" width="12.28515625" style="604" hidden="1" customWidth="1"/>
    <col min="13323" max="13333" width="8.7109375" style="604" hidden="1" customWidth="1"/>
    <col min="13334" max="13568" width="8.7109375" style="604" hidden="1"/>
    <col min="13569" max="13569" width="32.7109375" style="604" hidden="1" customWidth="1"/>
    <col min="13570" max="13571" width="12.28515625" style="604" hidden="1" customWidth="1"/>
    <col min="13572" max="13572" width="12.7109375" style="604" hidden="1" customWidth="1"/>
    <col min="13573" max="13578" width="12.28515625" style="604" hidden="1" customWidth="1"/>
    <col min="13579" max="13589" width="8.7109375" style="604" hidden="1" customWidth="1"/>
    <col min="13590" max="13824" width="8.7109375" style="604" hidden="1"/>
    <col min="13825" max="13825" width="32.7109375" style="604" hidden="1" customWidth="1"/>
    <col min="13826" max="13827" width="12.28515625" style="604" hidden="1" customWidth="1"/>
    <col min="13828" max="13828" width="12.7109375" style="604" hidden="1" customWidth="1"/>
    <col min="13829" max="13834" width="12.28515625" style="604" hidden="1" customWidth="1"/>
    <col min="13835" max="13845" width="8.7109375" style="604" hidden="1" customWidth="1"/>
    <col min="13846" max="14080" width="8.7109375" style="604" hidden="1"/>
    <col min="14081" max="14081" width="32.7109375" style="604" hidden="1" customWidth="1"/>
    <col min="14082" max="14083" width="12.28515625" style="604" hidden="1" customWidth="1"/>
    <col min="14084" max="14084" width="12.7109375" style="604" hidden="1" customWidth="1"/>
    <col min="14085" max="14090" width="12.28515625" style="604" hidden="1" customWidth="1"/>
    <col min="14091" max="14101" width="8.7109375" style="604" hidden="1" customWidth="1"/>
    <col min="14102" max="14336" width="8.7109375" style="604" hidden="1"/>
    <col min="14337" max="14337" width="32.7109375" style="604" hidden="1" customWidth="1"/>
    <col min="14338" max="14339" width="12.28515625" style="604" hidden="1" customWidth="1"/>
    <col min="14340" max="14340" width="12.7109375" style="604" hidden="1" customWidth="1"/>
    <col min="14341" max="14346" width="12.28515625" style="604" hidden="1" customWidth="1"/>
    <col min="14347" max="14357" width="8.7109375" style="604" hidden="1" customWidth="1"/>
    <col min="14358" max="14592" width="8.7109375" style="604" hidden="1"/>
    <col min="14593" max="14593" width="32.7109375" style="604" hidden="1" customWidth="1"/>
    <col min="14594" max="14595" width="12.28515625" style="604" hidden="1" customWidth="1"/>
    <col min="14596" max="14596" width="12.7109375" style="604" hidden="1" customWidth="1"/>
    <col min="14597" max="14602" width="12.28515625" style="604" hidden="1" customWidth="1"/>
    <col min="14603" max="14613" width="8.7109375" style="604" hidden="1" customWidth="1"/>
    <col min="14614" max="14848" width="8.7109375" style="604" hidden="1"/>
    <col min="14849" max="14849" width="32.7109375" style="604" hidden="1" customWidth="1"/>
    <col min="14850" max="14851" width="12.28515625" style="604" hidden="1" customWidth="1"/>
    <col min="14852" max="14852" width="12.7109375" style="604" hidden="1" customWidth="1"/>
    <col min="14853" max="14858" width="12.28515625" style="604" hidden="1" customWidth="1"/>
    <col min="14859" max="14869" width="8.7109375" style="604" hidden="1" customWidth="1"/>
    <col min="14870" max="15104" width="8.7109375" style="604" hidden="1"/>
    <col min="15105" max="15105" width="32.7109375" style="604" hidden="1" customWidth="1"/>
    <col min="15106" max="15107" width="12.28515625" style="604" hidden="1" customWidth="1"/>
    <col min="15108" max="15108" width="12.7109375" style="604" hidden="1" customWidth="1"/>
    <col min="15109" max="15114" width="12.28515625" style="604" hidden="1" customWidth="1"/>
    <col min="15115" max="15125" width="8.7109375" style="604" hidden="1" customWidth="1"/>
    <col min="15126" max="15360" width="8.7109375" style="604" hidden="1"/>
    <col min="15361" max="15361" width="32.7109375" style="604" hidden="1" customWidth="1"/>
    <col min="15362" max="15363" width="12.28515625" style="604" hidden="1" customWidth="1"/>
    <col min="15364" max="15364" width="12.7109375" style="604" hidden="1" customWidth="1"/>
    <col min="15365" max="15370" width="12.28515625" style="604" hidden="1" customWidth="1"/>
    <col min="15371" max="15381" width="8.7109375" style="604" hidden="1" customWidth="1"/>
    <col min="15382" max="15616" width="8.7109375" style="604" hidden="1"/>
    <col min="15617" max="15617" width="32.7109375" style="604" hidden="1" customWidth="1"/>
    <col min="15618" max="15619" width="12.28515625" style="604" hidden="1" customWidth="1"/>
    <col min="15620" max="15620" width="12.7109375" style="604" hidden="1" customWidth="1"/>
    <col min="15621" max="15626" width="12.28515625" style="604" hidden="1" customWidth="1"/>
    <col min="15627" max="15637" width="8.7109375" style="604" hidden="1" customWidth="1"/>
    <col min="15638" max="15872" width="8.7109375" style="604" hidden="1"/>
    <col min="15873" max="15873" width="32.7109375" style="604" hidden="1" customWidth="1"/>
    <col min="15874" max="15875" width="12.28515625" style="604" hidden="1" customWidth="1"/>
    <col min="15876" max="15876" width="12.7109375" style="604" hidden="1" customWidth="1"/>
    <col min="15877" max="15882" width="12.28515625" style="604" hidden="1" customWidth="1"/>
    <col min="15883" max="15893" width="8.7109375" style="604" hidden="1" customWidth="1"/>
    <col min="15894" max="16128" width="8.7109375" style="604" hidden="1"/>
    <col min="16129" max="16129" width="32.7109375" style="604" hidden="1" customWidth="1"/>
    <col min="16130" max="16131" width="12.28515625" style="604" hidden="1" customWidth="1"/>
    <col min="16132" max="16132" width="12.7109375" style="604" hidden="1" customWidth="1"/>
    <col min="16133" max="16138" width="12.28515625" style="604" hidden="1" customWidth="1"/>
    <col min="16139" max="16149" width="8.7109375" style="604" hidden="1" customWidth="1"/>
    <col min="16150" max="16384" width="8.7109375" style="604" hidden="1"/>
  </cols>
  <sheetData>
    <row r="1" spans="1:11" s="561" customFormat="1" ht="12.75">
      <c r="A1" s="2483" t="s">
        <v>1450</v>
      </c>
      <c r="B1" s="2484"/>
      <c r="C1" s="2484"/>
      <c r="D1" s="2484"/>
      <c r="E1" s="2484"/>
      <c r="F1" s="2484"/>
      <c r="G1" s="2484"/>
      <c r="H1" s="2484"/>
      <c r="I1" s="2484"/>
      <c r="J1" s="2485"/>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3300000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3300000</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40000</v>
      </c>
      <c r="C10" s="567"/>
      <c r="D10" s="567"/>
      <c r="E10" s="566">
        <f>'Sources and Uses Budget'!S10</f>
        <v>40000</v>
      </c>
      <c r="F10" s="567"/>
      <c r="G10" s="567"/>
      <c r="H10" s="566">
        <f>'Sources and Uses Budget'!T10</f>
        <v>0</v>
      </c>
      <c r="I10" s="567"/>
      <c r="J10" s="567"/>
      <c r="K10" s="564"/>
    </row>
    <row r="11" spans="1:11" s="565" customFormat="1">
      <c r="A11" s="570" t="s">
        <v>633</v>
      </c>
      <c r="B11" s="566">
        <f>'Sources and Uses Budget'!C11</f>
        <v>40000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3340000</v>
      </c>
      <c r="C12" s="566">
        <f>SUM(C8+C11)</f>
        <v>0</v>
      </c>
      <c r="D12" s="566">
        <f>SUM(D8+D11)</f>
        <v>0</v>
      </c>
      <c r="E12" s="568"/>
      <c r="F12" s="568"/>
      <c r="G12" s="568"/>
      <c r="H12" s="568"/>
      <c r="I12" s="568"/>
      <c r="J12" s="568"/>
      <c r="K12" s="564"/>
    </row>
    <row r="13" spans="1:11" s="565" customFormat="1">
      <c r="A13" s="571" t="s">
        <v>975</v>
      </c>
      <c r="B13" s="566">
        <f>'Sources and Uses Budget'!C13</f>
        <v>115000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789" t="s">
        <v>2012</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5352099</v>
      </c>
      <c r="C29" s="567"/>
      <c r="D29" s="567"/>
      <c r="E29" s="566">
        <f>+C29</f>
        <v>0</v>
      </c>
      <c r="F29" s="567">
        <f>+C29</f>
        <v>0</v>
      </c>
      <c r="G29" s="567"/>
      <c r="H29" s="566">
        <f>'Sources and Uses Budget'!T29</f>
        <v>0</v>
      </c>
      <c r="I29" s="567"/>
      <c r="J29" s="567"/>
      <c r="K29" s="564"/>
    </row>
    <row r="30" spans="1:11" s="565" customFormat="1">
      <c r="A30" s="215" t="s">
        <v>636</v>
      </c>
      <c r="B30" s="566">
        <f ca="1">'Sources and Uses Budget'!C30</f>
        <v>17651650.09090909</v>
      </c>
      <c r="C30" s="567"/>
      <c r="D30" s="567"/>
      <c r="E30" s="566">
        <f t="shared" ref="E30:E37" si="0">+C30</f>
        <v>0</v>
      </c>
      <c r="F30" s="567">
        <f t="shared" ref="F30:F37" si="1">+C30</f>
        <v>0</v>
      </c>
      <c r="G30" s="567"/>
      <c r="H30" s="566">
        <f>'Sources and Uses Budget'!T30</f>
        <v>0</v>
      </c>
      <c r="I30" s="567"/>
      <c r="J30" s="567"/>
      <c r="K30" s="564"/>
    </row>
    <row r="31" spans="1:11" s="565" customFormat="1">
      <c r="A31" s="215" t="s">
        <v>637</v>
      </c>
      <c r="B31" s="566">
        <f ca="1">'Sources and Uses Budget'!C31</f>
        <v>720708.06272727263</v>
      </c>
      <c r="C31" s="567"/>
      <c r="D31" s="567"/>
      <c r="E31" s="566">
        <f t="shared" si="0"/>
        <v>0</v>
      </c>
      <c r="F31" s="567">
        <f t="shared" si="1"/>
        <v>0</v>
      </c>
      <c r="G31" s="567"/>
      <c r="H31" s="566">
        <f>'Sources and Uses Budget'!T31</f>
        <v>0</v>
      </c>
      <c r="I31" s="567"/>
      <c r="J31" s="567"/>
      <c r="K31" s="564"/>
    </row>
    <row r="32" spans="1:11" s="565" customFormat="1">
      <c r="A32" s="215" t="s">
        <v>142</v>
      </c>
      <c r="B32" s="566">
        <f ca="1">'Sources and Uses Budget'!C32</f>
        <v>1410124.4686363637</v>
      </c>
      <c r="C32" s="567"/>
      <c r="D32" s="567"/>
      <c r="E32" s="566">
        <f t="shared" si="0"/>
        <v>0</v>
      </c>
      <c r="F32" s="567">
        <f t="shared" si="1"/>
        <v>0</v>
      </c>
      <c r="G32" s="567"/>
      <c r="H32" s="566">
        <f>'Sources and Uses Budget'!T32</f>
        <v>0</v>
      </c>
      <c r="I32" s="567"/>
      <c r="J32" s="567"/>
      <c r="K32" s="564"/>
    </row>
    <row r="33" spans="1:11" s="565" customFormat="1">
      <c r="A33" s="215" t="s">
        <v>143</v>
      </c>
      <c r="B33" s="566">
        <f ca="1">'Sources and Uses Budget'!C33</f>
        <v>1410124.4686363637</v>
      </c>
      <c r="C33" s="567"/>
      <c r="D33" s="567"/>
      <c r="E33" s="566">
        <f t="shared" si="0"/>
        <v>0</v>
      </c>
      <c r="F33" s="567">
        <f t="shared" si="1"/>
        <v>0</v>
      </c>
      <c r="G33" s="567"/>
      <c r="H33" s="566">
        <f>'Sources and Uses Budget'!T33</f>
        <v>0</v>
      </c>
      <c r="I33" s="567"/>
      <c r="J33" s="567"/>
      <c r="K33" s="564"/>
    </row>
    <row r="34" spans="1:11" s="565" customFormat="1">
      <c r="A34" s="215" t="s">
        <v>144</v>
      </c>
      <c r="B34" s="566">
        <f ca="1">'Sources and Uses Budget'!C34</f>
        <v>2300374.9090909092</v>
      </c>
      <c r="C34" s="567"/>
      <c r="D34" s="567"/>
      <c r="E34" s="566">
        <f t="shared" si="0"/>
        <v>0</v>
      </c>
      <c r="F34" s="567">
        <f t="shared" si="1"/>
        <v>0</v>
      </c>
      <c r="G34" s="567"/>
      <c r="H34" s="566">
        <f>'Sources and Uses Budget'!T34</f>
        <v>0</v>
      </c>
      <c r="I34" s="567"/>
      <c r="J34" s="567"/>
      <c r="K34" s="564"/>
    </row>
    <row r="35" spans="1:11" s="565" customFormat="1">
      <c r="A35" s="215" t="s">
        <v>145</v>
      </c>
      <c r="B35" s="566">
        <f>'Sources and Uses Budget'!C35</f>
        <v>150000</v>
      </c>
      <c r="C35" s="567"/>
      <c r="D35" s="567"/>
      <c r="E35" s="566">
        <f t="shared" si="0"/>
        <v>0</v>
      </c>
      <c r="F35" s="567">
        <f t="shared" si="1"/>
        <v>0</v>
      </c>
      <c r="G35" s="567"/>
      <c r="H35" s="566">
        <f>'Sources and Uses Budget'!T35</f>
        <v>0</v>
      </c>
      <c r="I35" s="567"/>
      <c r="J35" s="567"/>
      <c r="K35" s="564"/>
    </row>
    <row r="36" spans="1:11" s="565" customFormat="1">
      <c r="A36" s="789" t="s">
        <v>2012</v>
      </c>
      <c r="B36" s="566">
        <f>'Sources and Uses Budget'!C36</f>
        <v>0</v>
      </c>
      <c r="C36" s="567"/>
      <c r="D36" s="567"/>
      <c r="E36" s="566">
        <f t="shared" si="0"/>
        <v>0</v>
      </c>
      <c r="F36" s="567">
        <f t="shared" si="1"/>
        <v>0</v>
      </c>
      <c r="G36" s="567"/>
      <c r="H36" s="566">
        <f>'Sources and Uses Budget'!T36</f>
        <v>0</v>
      </c>
      <c r="I36" s="567"/>
      <c r="J36" s="567"/>
      <c r="K36" s="564"/>
    </row>
    <row r="37" spans="1:11" s="565" customFormat="1">
      <c r="A37" s="572" t="str">
        <f>'Sources and Uses Budget'!$A37</f>
        <v>PV system</v>
      </c>
      <c r="B37" s="566">
        <f>'Sources and Uses Budget'!C37</f>
        <v>1019853</v>
      </c>
      <c r="C37" s="567"/>
      <c r="D37" s="567"/>
      <c r="E37" s="566">
        <f t="shared" si="0"/>
        <v>0</v>
      </c>
      <c r="F37" s="567">
        <f t="shared" si="1"/>
        <v>0</v>
      </c>
      <c r="G37" s="567"/>
      <c r="H37" s="566">
        <f>'Sources and Uses Budget'!T37</f>
        <v>0</v>
      </c>
      <c r="I37" s="567"/>
      <c r="J37" s="567"/>
      <c r="K37" s="564"/>
    </row>
    <row r="38" spans="1:11" s="565" customFormat="1">
      <c r="A38" s="574" t="s">
        <v>148</v>
      </c>
      <c r="B38" s="566">
        <f ca="1">'Sources and Uses Budget'!C38</f>
        <v>30014934</v>
      </c>
      <c r="C38" s="566">
        <f>SUM(C29:C37)</f>
        <v>0</v>
      </c>
      <c r="D38" s="566">
        <f>SUM(D29:D37)</f>
        <v>0</v>
      </c>
      <c r="E38" s="566">
        <f ca="1">'Sources and Uses Budget'!S38</f>
        <v>30014934</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480000</v>
      </c>
      <c r="C40" s="567"/>
      <c r="D40" s="567"/>
      <c r="E40" s="566">
        <f>'Sources and Uses Budget'!S40</f>
        <v>480000</v>
      </c>
      <c r="F40" s="567"/>
      <c r="G40" s="567"/>
      <c r="H40" s="566">
        <f>'Sources and Uses Budget'!T40</f>
        <v>0</v>
      </c>
      <c r="I40" s="567"/>
      <c r="J40" s="567"/>
      <c r="K40" s="564"/>
    </row>
    <row r="41" spans="1:11" s="565" customFormat="1">
      <c r="A41" s="569" t="s">
        <v>151</v>
      </c>
      <c r="B41" s="566">
        <f>'Sources and Uses Budget'!C41</f>
        <v>120000</v>
      </c>
      <c r="C41" s="567"/>
      <c r="D41" s="567"/>
      <c r="E41" s="566">
        <f>'Sources and Uses Budget'!S41</f>
        <v>120000</v>
      </c>
      <c r="F41" s="567"/>
      <c r="G41" s="567"/>
      <c r="H41" s="566">
        <f>'Sources and Uses Budget'!T41</f>
        <v>0</v>
      </c>
      <c r="I41" s="567"/>
      <c r="J41" s="567"/>
      <c r="K41" s="564"/>
    </row>
    <row r="42" spans="1:11" s="565" customFormat="1">
      <c r="A42" s="570" t="s">
        <v>152</v>
      </c>
      <c r="B42" s="566">
        <f>'Sources and Uses Budget'!C42</f>
        <v>600000</v>
      </c>
      <c r="C42" s="566">
        <f>SUM(C39:C41)</f>
        <v>0</v>
      </c>
      <c r="D42" s="566">
        <f>SUM(D39:D41)</f>
        <v>0</v>
      </c>
      <c r="E42" s="566">
        <f>'Sources and Uses Budget'!S42</f>
        <v>600000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150000</v>
      </c>
      <c r="C43" s="567"/>
      <c r="D43" s="567"/>
      <c r="E43" s="566">
        <f>'Sources and Uses Budget'!S43</f>
        <v>150000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1102051.6047945987</v>
      </c>
      <c r="C45" s="567"/>
      <c r="D45" s="567"/>
      <c r="E45" s="566">
        <f>'Sources and Uses Budget'!S45</f>
        <v>575381.38682395511</v>
      </c>
      <c r="F45" s="567"/>
      <c r="G45" s="567"/>
      <c r="H45" s="566">
        <f>'Sources and Uses Budget'!T45</f>
        <v>0</v>
      </c>
      <c r="I45" s="567"/>
      <c r="J45" s="567"/>
      <c r="K45" s="564"/>
    </row>
    <row r="46" spans="1:11" s="565" customFormat="1">
      <c r="A46" s="569" t="s">
        <v>156</v>
      </c>
      <c r="B46" s="566">
        <f>'Sources and Uses Budget'!C46</f>
        <v>227420.48032076791</v>
      </c>
      <c r="C46" s="567"/>
      <c r="D46" s="567"/>
      <c r="E46" s="566">
        <f>'Sources and Uses Budget'!S46</f>
        <v>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f t="shared" ref="F47:F53" si="2">+B47</f>
        <v>0</v>
      </c>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f t="shared" si="2"/>
        <v>0</v>
      </c>
      <c r="G48" s="567"/>
      <c r="H48" s="566">
        <f>'Sources and Uses Budget'!T48</f>
        <v>0</v>
      </c>
      <c r="I48" s="567"/>
      <c r="J48" s="567"/>
      <c r="K48" s="564"/>
    </row>
    <row r="49" spans="1:11" s="565" customFormat="1">
      <c r="A49" s="441" t="s">
        <v>60</v>
      </c>
      <c r="B49" s="566">
        <f>'Sources and Uses Budget'!C49</f>
        <v>154812.1280855381</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50000</v>
      </c>
      <c r="C50" s="567"/>
      <c r="D50" s="567"/>
      <c r="E50" s="566">
        <f>'Sources and Uses Budget'!S50</f>
        <v>0</v>
      </c>
      <c r="F50" s="567"/>
      <c r="G50" s="567"/>
      <c r="H50" s="566">
        <f>'Sources and Uses Budget'!T50</f>
        <v>0</v>
      </c>
      <c r="I50" s="567"/>
      <c r="J50" s="567"/>
      <c r="K50" s="564"/>
    </row>
    <row r="51" spans="1:11" s="565" customFormat="1">
      <c r="A51" s="569" t="s">
        <v>159</v>
      </c>
      <c r="B51" s="566">
        <f>'Sources and Uses Budget'!C51</f>
        <v>32000</v>
      </c>
      <c r="C51" s="567"/>
      <c r="D51" s="567"/>
      <c r="E51" s="566">
        <f>'Sources and Uses Budget'!S51</f>
        <v>32000</v>
      </c>
      <c r="F51" s="567"/>
      <c r="G51" s="567"/>
      <c r="H51" s="566">
        <f>'Sources and Uses Budget'!T51</f>
        <v>0</v>
      </c>
      <c r="I51" s="567"/>
      <c r="J51" s="567"/>
      <c r="K51" s="564"/>
    </row>
    <row r="52" spans="1:11" s="565" customFormat="1">
      <c r="A52" s="569" t="s">
        <v>160</v>
      </c>
      <c r="B52" s="566">
        <f>'Sources and Uses Budget'!C52</f>
        <v>150000</v>
      </c>
      <c r="C52" s="567"/>
      <c r="D52" s="567"/>
      <c r="E52" s="566">
        <f>'Sources and Uses Budget'!S52</f>
        <v>150000</v>
      </c>
      <c r="F52" s="567"/>
      <c r="G52" s="567"/>
      <c r="H52" s="566">
        <f>'Sources and Uses Budget'!T52</f>
        <v>0</v>
      </c>
      <c r="I52" s="567"/>
      <c r="J52" s="567"/>
      <c r="K52" s="564"/>
    </row>
    <row r="53" spans="1:11" s="565" customFormat="1">
      <c r="A53" s="572" t="str">
        <f>'Sources and Uses Budget'!$A53</f>
        <v>Other: (Specify)</v>
      </c>
      <c r="B53" s="566">
        <f>'Sources and Uses Budget'!C53</f>
        <v>0</v>
      </c>
      <c r="C53" s="567">
        <f t="shared" ref="C53" si="3">+B53</f>
        <v>0</v>
      </c>
      <c r="D53" s="567"/>
      <c r="E53" s="566">
        <f>'Sources and Uses Budget'!S53</f>
        <v>0</v>
      </c>
      <c r="F53" s="567">
        <f t="shared" si="2"/>
        <v>0</v>
      </c>
      <c r="G53" s="567"/>
      <c r="H53" s="566">
        <f>'Sources and Uses Budget'!T53</f>
        <v>0</v>
      </c>
      <c r="I53" s="567"/>
      <c r="J53" s="567"/>
      <c r="K53" s="564"/>
    </row>
    <row r="54" spans="1:11" s="576" customFormat="1">
      <c r="A54" s="570" t="s">
        <v>162</v>
      </c>
      <c r="B54" s="566">
        <f>'Sources and Uses Budget'!C54</f>
        <v>1716284.2132009047</v>
      </c>
      <c r="C54" s="573">
        <f>SUM(C45:C53)</f>
        <v>0</v>
      </c>
      <c r="D54" s="573">
        <f>SUM(D45:D53)</f>
        <v>0</v>
      </c>
      <c r="E54" s="566">
        <f>'Sources and Uses Budget'!S54</f>
        <v>757381.38682395511</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204921.32</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f t="shared" ref="C59:C60" si="4">+B59</f>
        <v>0</v>
      </c>
      <c r="D59" s="567"/>
      <c r="E59" s="568"/>
      <c r="F59" s="568"/>
      <c r="G59" s="568"/>
      <c r="H59" s="568"/>
      <c r="I59" s="568"/>
      <c r="J59" s="568"/>
      <c r="K59" s="564"/>
    </row>
    <row r="60" spans="1:11" s="565" customFormat="1">
      <c r="A60" s="569" t="s">
        <v>160</v>
      </c>
      <c r="B60" s="566">
        <f>'Sources and Uses Budget'!C60</f>
        <v>0</v>
      </c>
      <c r="C60" s="567">
        <f t="shared" si="4"/>
        <v>0</v>
      </c>
      <c r="D60" s="567"/>
      <c r="E60" s="568"/>
      <c r="F60" s="568"/>
      <c r="G60" s="568"/>
      <c r="H60" s="568"/>
      <c r="I60" s="568"/>
      <c r="J60" s="568"/>
      <c r="K60" s="564"/>
    </row>
    <row r="61" spans="1:11" s="565" customFormat="1">
      <c r="A61" s="572" t="str">
        <f>'Sources and Uses Budget'!$A61</f>
        <v>owner legal - perm loan</v>
      </c>
      <c r="B61" s="566">
        <f>'Sources and Uses Budget'!C61</f>
        <v>10000</v>
      </c>
      <c r="C61" s="567"/>
      <c r="D61" s="567"/>
      <c r="E61" s="568"/>
      <c r="F61" s="568"/>
      <c r="G61" s="568"/>
      <c r="H61" s="568"/>
      <c r="I61" s="568"/>
      <c r="J61" s="568"/>
      <c r="K61" s="564"/>
    </row>
    <row r="62" spans="1:11" s="565" customFormat="1" ht="13.9" customHeight="1">
      <c r="A62" s="570" t="s">
        <v>311</v>
      </c>
      <c r="B62" s="566">
        <f>'Sources and Uses Budget'!C62</f>
        <v>224921.32</v>
      </c>
      <c r="C62" s="566">
        <f>SUM(C56:C61)</f>
        <v>0</v>
      </c>
      <c r="D62" s="566">
        <f>SUM(D56:D61)</f>
        <v>0</v>
      </c>
      <c r="E62" s="568"/>
      <c r="F62" s="568"/>
      <c r="G62" s="568"/>
      <c r="H62" s="568"/>
      <c r="I62" s="568"/>
      <c r="J62" s="568"/>
      <c r="K62" s="564"/>
    </row>
    <row r="63" spans="1:11" s="565" customFormat="1">
      <c r="A63" s="577" t="s">
        <v>312</v>
      </c>
      <c r="B63" s="566">
        <f ca="1">'Sources and Uses Budget'!C63</f>
        <v>36161139.533200905</v>
      </c>
      <c r="C63" s="566">
        <f>SUM(C8+C11+C13+C14+C15+C26+C27+C38+C42+C43+C54+C62)</f>
        <v>0</v>
      </c>
      <c r="D63" s="566">
        <f>SUM(D8+D11+D13+D14+D15+D26+D27+D38+D42+D43+D54+D62)</f>
        <v>0</v>
      </c>
      <c r="E63" s="566">
        <f ca="1">'Sources and Uses Budget'!S63</f>
        <v>31562315.386823956</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2016</v>
      </c>
      <c r="B64" s="563"/>
      <c r="C64" s="563"/>
      <c r="D64" s="563"/>
      <c r="E64" s="563"/>
      <c r="F64" s="563"/>
      <c r="G64" s="563"/>
      <c r="H64" s="563"/>
      <c r="I64" s="563"/>
      <c r="J64" s="563"/>
      <c r="K64" s="564"/>
    </row>
    <row r="65" spans="1:11" s="565" customFormat="1">
      <c r="A65" s="215" t="s">
        <v>176</v>
      </c>
      <c r="B65" s="566">
        <f>'Sources and Uses Budget'!C65</f>
        <v>80000</v>
      </c>
      <c r="C65" s="567"/>
      <c r="D65" s="567"/>
      <c r="E65" s="566">
        <f>'Sources and Uses Budget'!S65</f>
        <v>0</v>
      </c>
      <c r="F65" s="567"/>
      <c r="G65" s="567">
        <f t="shared" ref="F65:G66" si="5">+C65</f>
        <v>0</v>
      </c>
      <c r="H65" s="566">
        <f>'Sources and Uses Budget'!T65</f>
        <v>0</v>
      </c>
      <c r="I65" s="567"/>
      <c r="J65" s="567"/>
      <c r="K65" s="564"/>
    </row>
    <row r="66" spans="1:11" s="565" customFormat="1" ht="24">
      <c r="A66" s="441" t="s">
        <v>2013</v>
      </c>
      <c r="B66" s="566">
        <f>'Sources and Uses Budget'!C66</f>
        <v>0</v>
      </c>
      <c r="C66" s="567">
        <f t="shared" ref="C66:C68" si="6">+B66</f>
        <v>0</v>
      </c>
      <c r="D66" s="567"/>
      <c r="E66" s="566">
        <f>'Sources and Uses Budget'!S66</f>
        <v>0</v>
      </c>
      <c r="F66" s="567">
        <f t="shared" si="5"/>
        <v>0</v>
      </c>
      <c r="G66" s="567"/>
      <c r="H66" s="566">
        <f>'Sources and Uses Budget'!T66</f>
        <v>0</v>
      </c>
      <c r="I66" s="567"/>
      <c r="J66" s="567"/>
      <c r="K66" s="564"/>
    </row>
    <row r="67" spans="1:11" s="565" customFormat="1" ht="24">
      <c r="A67" s="441" t="s">
        <v>2014</v>
      </c>
      <c r="B67" s="566">
        <f>'Sources and Uses Budget'!C67</f>
        <v>0</v>
      </c>
      <c r="C67" s="567">
        <f t="shared" si="6"/>
        <v>0</v>
      </c>
      <c r="D67" s="567"/>
      <c r="E67" s="566">
        <f>'Sources and Uses Budget'!S67</f>
        <v>0</v>
      </c>
      <c r="F67" s="567"/>
      <c r="G67" s="567"/>
      <c r="H67" s="566">
        <f>'Sources and Uses Budget'!T67</f>
        <v>0</v>
      </c>
      <c r="I67" s="567"/>
      <c r="J67" s="567"/>
      <c r="K67" s="564"/>
    </row>
    <row r="68" spans="1:11" s="565" customFormat="1">
      <c r="A68" s="441" t="s">
        <v>2020</v>
      </c>
      <c r="B68" s="566">
        <f>'Sources and Uses Budget'!C68</f>
        <v>0</v>
      </c>
      <c r="C68" s="567">
        <f t="shared" si="6"/>
        <v>0</v>
      </c>
      <c r="D68" s="567"/>
      <c r="E68" s="566">
        <f>'Sources and Uses Budget'!S68</f>
        <v>0</v>
      </c>
      <c r="F68" s="567"/>
      <c r="G68" s="567"/>
      <c r="H68" s="566">
        <f>'Sources and Uses Budget'!T68</f>
        <v>0</v>
      </c>
      <c r="I68" s="567"/>
      <c r="J68" s="567"/>
      <c r="K68" s="564"/>
    </row>
    <row r="69" spans="1:11" s="565" customFormat="1">
      <c r="A69" s="572" t="str">
        <f>'Sources and Uses Budget'!$A69</f>
        <v>Other: Borrower legal</v>
      </c>
      <c r="B69" s="566">
        <f>'Sources and Uses Budget'!C69</f>
        <v>90000</v>
      </c>
      <c r="C69" s="567"/>
      <c r="D69" s="567"/>
      <c r="E69" s="566">
        <f>'Sources and Uses Budget'!S69</f>
        <v>40000</v>
      </c>
      <c r="F69" s="567"/>
      <c r="G69" s="567"/>
      <c r="H69" s="566">
        <f>'Sources and Uses Budget'!T69</f>
        <v>0</v>
      </c>
      <c r="I69" s="567"/>
      <c r="J69" s="567"/>
      <c r="K69" s="564"/>
    </row>
    <row r="70" spans="1:11" s="565" customFormat="1">
      <c r="A70" s="570" t="s">
        <v>638</v>
      </c>
      <c r="B70" s="566">
        <f>'Sources and Uses Budget'!C70</f>
        <v>170000</v>
      </c>
      <c r="C70" s="566">
        <f>SUM(C64:C69)</f>
        <v>0</v>
      </c>
      <c r="D70" s="566">
        <f>SUM(D64:D69)</f>
        <v>0</v>
      </c>
      <c r="E70" s="566">
        <f>'Sources and Uses Budget'!S70</f>
        <v>40000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f t="shared" ref="C72:C76" si="7">+B72</f>
        <v>0</v>
      </c>
      <c r="D72" s="567"/>
      <c r="E72" s="568"/>
      <c r="F72" s="568"/>
      <c r="G72" s="568"/>
      <c r="H72" s="568"/>
      <c r="I72" s="568"/>
      <c r="J72" s="568"/>
      <c r="K72" s="564"/>
    </row>
    <row r="73" spans="1:11" s="565" customFormat="1">
      <c r="A73" s="569" t="s">
        <v>641</v>
      </c>
      <c r="B73" s="566">
        <f>'Sources and Uses Budget'!C73</f>
        <v>0</v>
      </c>
      <c r="C73" s="567">
        <f t="shared" si="7"/>
        <v>0</v>
      </c>
      <c r="D73" s="567"/>
      <c r="E73" s="568"/>
      <c r="F73" s="568"/>
      <c r="G73" s="568"/>
      <c r="H73" s="568"/>
      <c r="I73" s="568"/>
      <c r="J73" s="568"/>
      <c r="K73" s="564"/>
    </row>
    <row r="74" spans="1:11" s="565" customFormat="1">
      <c r="A74" s="740" t="s">
        <v>1090</v>
      </c>
      <c r="B74" s="566">
        <f>'Sources and Uses Budget'!C74</f>
        <v>0</v>
      </c>
      <c r="C74" s="567">
        <f t="shared" si="7"/>
        <v>0</v>
      </c>
      <c r="D74" s="567"/>
      <c r="E74" s="568"/>
      <c r="F74" s="568"/>
      <c r="G74" s="568"/>
      <c r="H74" s="568"/>
      <c r="I74" s="568"/>
      <c r="J74" s="568"/>
      <c r="K74" s="564"/>
    </row>
    <row r="75" spans="1:11" s="565" customFormat="1">
      <c r="A75" s="569" t="s">
        <v>642</v>
      </c>
      <c r="B75" s="566">
        <f>'Sources and Uses Budget'!C75</f>
        <v>545840</v>
      </c>
      <c r="C75" s="567"/>
      <c r="D75" s="567"/>
      <c r="E75" s="568"/>
      <c r="F75" s="568"/>
      <c r="G75" s="568"/>
      <c r="H75" s="568"/>
      <c r="I75" s="568"/>
      <c r="J75" s="568"/>
      <c r="K75" s="564"/>
    </row>
    <row r="76" spans="1:11" s="565" customFormat="1">
      <c r="A76" s="572" t="str">
        <f>'Sources and Uses Budget'!$A76</f>
        <v>Other: (Specify)</v>
      </c>
      <c r="B76" s="566">
        <f>'Sources and Uses Budget'!C76</f>
        <v>0</v>
      </c>
      <c r="C76" s="567">
        <f t="shared" si="7"/>
        <v>0</v>
      </c>
      <c r="D76" s="567"/>
      <c r="E76" s="568"/>
      <c r="F76" s="568"/>
      <c r="G76" s="568"/>
      <c r="H76" s="568"/>
      <c r="I76" s="568"/>
      <c r="J76" s="568"/>
      <c r="K76" s="564"/>
    </row>
    <row r="77" spans="1:11" s="565" customFormat="1">
      <c r="A77" s="570" t="s">
        <v>643</v>
      </c>
      <c r="B77" s="566">
        <f>'Sources and Uses Budget'!C77</f>
        <v>545840</v>
      </c>
      <c r="C77" s="566">
        <f>SUM(C72:C76)</f>
        <v>0</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1953570.71</v>
      </c>
      <c r="C79" s="567"/>
      <c r="D79" s="567"/>
      <c r="E79" s="566">
        <f>'Sources and Uses Budget'!S79</f>
        <v>1953570.71</v>
      </c>
      <c r="F79" s="567"/>
      <c r="G79" s="567"/>
      <c r="H79" s="566">
        <f>'Sources and Uses Budget'!T79</f>
        <v>0</v>
      </c>
      <c r="I79" s="567"/>
      <c r="J79" s="567"/>
      <c r="K79" s="564"/>
    </row>
    <row r="80" spans="1:11" s="565" customFormat="1">
      <c r="A80" s="569" t="s">
        <v>61</v>
      </c>
      <c r="B80" s="566">
        <f>'Sources and Uses Budget'!C80</f>
        <v>200000</v>
      </c>
      <c r="C80" s="567"/>
      <c r="D80" s="567"/>
      <c r="E80" s="566">
        <f>'Sources and Uses Budget'!S80</f>
        <v>200000</v>
      </c>
      <c r="F80" s="567"/>
      <c r="G80" s="567"/>
      <c r="H80" s="566">
        <f>'Sources and Uses Budget'!T80</f>
        <v>0</v>
      </c>
      <c r="I80" s="567"/>
      <c r="J80" s="567"/>
      <c r="K80" s="564"/>
    </row>
    <row r="81" spans="1:11" s="565" customFormat="1">
      <c r="A81" s="570" t="s">
        <v>1427</v>
      </c>
      <c r="B81" s="566">
        <f>'Sources and Uses Budget'!C81</f>
        <v>2153570.71</v>
      </c>
      <c r="C81" s="566">
        <f>SUM(C79:C80)</f>
        <v>0</v>
      </c>
      <c r="D81" s="566">
        <f>SUM(D79:D80)</f>
        <v>0</v>
      </c>
      <c r="E81" s="566">
        <f>'Sources and Uses Budget'!S81</f>
        <v>2153570.71</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9" customHeight="1">
      <c r="A83" s="215" t="s">
        <v>828</v>
      </c>
      <c r="B83" s="566">
        <f>'Sources and Uses Budget'!C83</f>
        <v>49347.944111608689</v>
      </c>
      <c r="C83" s="567"/>
      <c r="D83" s="567"/>
      <c r="E83" s="568"/>
      <c r="F83" s="568"/>
      <c r="G83" s="568"/>
      <c r="H83" s="568"/>
      <c r="I83" s="568"/>
      <c r="J83" s="568"/>
      <c r="K83" s="564"/>
    </row>
    <row r="84" spans="1:11" s="565" customFormat="1">
      <c r="A84" s="215" t="s">
        <v>829</v>
      </c>
      <c r="B84" s="566">
        <f>'Sources and Uses Budget'!C84</f>
        <v>15000</v>
      </c>
      <c r="C84" s="567"/>
      <c r="D84" s="567"/>
      <c r="E84" s="566">
        <f>'Sources and Uses Budget'!S84</f>
        <v>15000</v>
      </c>
      <c r="F84" s="567"/>
      <c r="G84" s="567"/>
      <c r="H84" s="566">
        <f>'Sources and Uses Budget'!T84</f>
        <v>0</v>
      </c>
      <c r="I84" s="567"/>
      <c r="J84" s="567"/>
      <c r="K84" s="564"/>
    </row>
    <row r="85" spans="1:11" s="565" customFormat="1">
      <c r="A85" s="215" t="s">
        <v>830</v>
      </c>
      <c r="B85" s="566">
        <f>'Sources and Uses Budget'!C85</f>
        <v>1945957</v>
      </c>
      <c r="C85" s="567"/>
      <c r="D85" s="567"/>
      <c r="E85" s="566">
        <f>'Sources and Uses Budget'!S85</f>
        <v>1945957</v>
      </c>
      <c r="F85" s="567"/>
      <c r="G85" s="567"/>
      <c r="H85" s="566">
        <f>'Sources and Uses Budget'!T85</f>
        <v>0</v>
      </c>
      <c r="I85" s="567"/>
      <c r="J85" s="567"/>
      <c r="K85" s="564"/>
    </row>
    <row r="86" spans="1:11" s="565" customFormat="1">
      <c r="A86" s="215" t="s">
        <v>831</v>
      </c>
      <c r="B86" s="566">
        <f>'Sources and Uses Budget'!C86</f>
        <v>668779</v>
      </c>
      <c r="C86" s="567"/>
      <c r="D86" s="567"/>
      <c r="E86" s="566">
        <f>'Sources and Uses Budget'!S86</f>
        <v>668779</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f t="shared" ref="F87:G87" si="8">+B87</f>
        <v>0</v>
      </c>
      <c r="G87" s="567">
        <f t="shared" si="8"/>
        <v>0</v>
      </c>
      <c r="H87" s="566">
        <f>'Sources and Uses Budget'!T87</f>
        <v>0</v>
      </c>
      <c r="I87" s="567"/>
      <c r="J87" s="567"/>
      <c r="K87" s="564"/>
    </row>
    <row r="88" spans="1:11" s="565" customFormat="1">
      <c r="A88" s="215" t="s">
        <v>833</v>
      </c>
      <c r="B88" s="566">
        <f>'Sources and Uses Budget'!C88</f>
        <v>50000</v>
      </c>
      <c r="C88" s="567"/>
      <c r="D88" s="567"/>
      <c r="E88" s="568"/>
      <c r="F88" s="568"/>
      <c r="G88" s="568"/>
      <c r="H88" s="568"/>
      <c r="I88" s="568"/>
      <c r="J88" s="568"/>
      <c r="K88" s="564"/>
    </row>
    <row r="89" spans="1:11" s="565" customFormat="1">
      <c r="A89" s="215" t="s">
        <v>834</v>
      </c>
      <c r="B89" s="566">
        <f>'Sources and Uses Budget'!C89</f>
        <v>40000</v>
      </c>
      <c r="C89" s="567"/>
      <c r="D89" s="567"/>
      <c r="E89" s="566">
        <f>'Sources and Uses Budget'!S89</f>
        <v>40000</v>
      </c>
      <c r="F89" s="567"/>
      <c r="G89" s="567"/>
      <c r="H89" s="566">
        <f>'Sources and Uses Budget'!T89</f>
        <v>0</v>
      </c>
      <c r="I89" s="567"/>
      <c r="J89" s="567"/>
      <c r="K89" s="564"/>
    </row>
    <row r="90" spans="1:11" s="565" customFormat="1">
      <c r="A90" s="215" t="s">
        <v>835</v>
      </c>
      <c r="B90" s="566">
        <f>'Sources and Uses Budget'!C90</f>
        <v>7500</v>
      </c>
      <c r="C90" s="567"/>
      <c r="D90" s="567"/>
      <c r="E90" s="566">
        <f>'Sources and Uses Budget'!S90</f>
        <v>7500</v>
      </c>
      <c r="F90" s="567"/>
      <c r="G90" s="567"/>
      <c r="H90" s="566">
        <f>'Sources and Uses Budget'!T90</f>
        <v>0</v>
      </c>
      <c r="I90" s="567"/>
      <c r="J90" s="567"/>
      <c r="K90" s="564"/>
    </row>
    <row r="91" spans="1:11" s="565" customFormat="1">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c r="A92" s="789" t="s">
        <v>1429</v>
      </c>
      <c r="B92" s="566">
        <f>'Sources and Uses Budget'!C92</f>
        <v>7500</v>
      </c>
      <c r="C92" s="567"/>
      <c r="D92" s="567"/>
      <c r="E92" s="566">
        <f>'Sources and Uses Budget'!S92</f>
        <v>7500</v>
      </c>
      <c r="F92" s="567"/>
      <c r="G92" s="567"/>
      <c r="H92" s="566">
        <f>'Sources and Uses Budget'!T92</f>
        <v>0</v>
      </c>
      <c r="I92" s="567"/>
      <c r="J92" s="567"/>
      <c r="K92" s="564"/>
    </row>
    <row r="93" spans="1:11" s="565" customFormat="1">
      <c r="A93" s="572" t="str">
        <f>'Sources and Uses Budget'!$A93</f>
        <v>prevailing wage monitoring</v>
      </c>
      <c r="B93" s="566">
        <f>'Sources and Uses Budget'!C93</f>
        <v>50000</v>
      </c>
      <c r="C93" s="567"/>
      <c r="D93" s="567"/>
      <c r="E93" s="566">
        <f>'Sources and Uses Budget'!S93</f>
        <v>50000</v>
      </c>
      <c r="F93" s="567"/>
      <c r="G93" s="567"/>
      <c r="H93" s="566">
        <f>'Sources and Uses Budget'!T93</f>
        <v>0</v>
      </c>
      <c r="I93" s="567"/>
      <c r="J93" s="567"/>
      <c r="K93" s="564"/>
    </row>
    <row r="94" spans="1:11" s="565" customFormat="1">
      <c r="A94" s="572">
        <f>'Sources and Uses Budget'!$A94</f>
        <v>0</v>
      </c>
      <c r="B94" s="566">
        <f>'Sources and Uses Budget'!C94</f>
        <v>0</v>
      </c>
      <c r="C94" s="567">
        <f t="shared" ref="C94:C95" si="9">+B94</f>
        <v>0</v>
      </c>
      <c r="D94" s="567"/>
      <c r="E94" s="566">
        <f>'Sources and Uses Budget'!S94</f>
        <v>0</v>
      </c>
      <c r="F94" s="567">
        <f t="shared" ref="F94" si="10">+B94</f>
        <v>0</v>
      </c>
      <c r="G94" s="567"/>
      <c r="H94" s="566">
        <f>'Sources and Uses Budget'!T94</f>
        <v>0</v>
      </c>
      <c r="I94" s="567"/>
      <c r="J94" s="567"/>
      <c r="K94" s="564"/>
    </row>
    <row r="95" spans="1:11" s="565" customFormat="1">
      <c r="A95" s="572" t="str">
        <f>'Sources and Uses Budget'!$A95</f>
        <v>Other: (Specify)</v>
      </c>
      <c r="B95" s="566">
        <f>'Sources and Uses Budget'!C95</f>
        <v>0</v>
      </c>
      <c r="C95" s="567">
        <f t="shared" si="9"/>
        <v>0</v>
      </c>
      <c r="D95" s="567"/>
      <c r="E95" s="566">
        <f>'Sources and Uses Budget'!S95</f>
        <v>0</v>
      </c>
      <c r="F95" s="567"/>
      <c r="G95" s="567"/>
      <c r="H95" s="566">
        <f>'Sources and Uses Budget'!T95</f>
        <v>0</v>
      </c>
      <c r="I95" s="567"/>
      <c r="J95" s="567"/>
      <c r="K95" s="564"/>
    </row>
    <row r="96" spans="1:11" s="565" customFormat="1">
      <c r="A96" s="570" t="s">
        <v>836</v>
      </c>
      <c r="B96" s="566">
        <f>'Sources and Uses Budget'!C96</f>
        <v>2834083.9441116089</v>
      </c>
      <c r="C96" s="566">
        <f>SUM(C83:C95)</f>
        <v>0</v>
      </c>
      <c r="D96" s="566">
        <f>SUM(D83:D95)</f>
        <v>0</v>
      </c>
      <c r="E96" s="566">
        <f>'Sources and Uses Budget'!S96</f>
        <v>2734736</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 ca="1">'Sources and Uses Budget'!C97</f>
        <v>41864634.187312514</v>
      </c>
      <c r="C97" s="566">
        <f>SUM(C63+C70+C77+C81+C96)</f>
        <v>0</v>
      </c>
      <c r="D97" s="566">
        <f>SUM(D63+D70+D77+D81+D96)</f>
        <v>0</v>
      </c>
      <c r="E97" s="566">
        <f ca="1">'Sources and Uses Budget'!S97</f>
        <v>36490622.096823953</v>
      </c>
      <c r="F97" s="573">
        <f>SUM(+F63+F70+F81+F96)</f>
        <v>0</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3500000</v>
      </c>
      <c r="C99" s="567"/>
      <c r="D99" s="567"/>
      <c r="E99" s="566">
        <f>'Sources and Uses Budget'!S99</f>
        <v>3500000</v>
      </c>
      <c r="F99" s="567"/>
      <c r="G99" s="567"/>
      <c r="H99" s="566">
        <f>'Sources and Uses Budget'!T99</f>
        <v>0</v>
      </c>
      <c r="I99" s="567"/>
      <c r="J99" s="567"/>
      <c r="K99" s="564"/>
    </row>
    <row r="100" spans="1:11" s="565" customFormat="1">
      <c r="A100" s="441" t="s">
        <v>2018</v>
      </c>
      <c r="B100" s="566">
        <f>'Sources and Uses Budget'!C100</f>
        <v>0</v>
      </c>
      <c r="C100" s="567">
        <f t="shared" ref="C100:C103" si="11">+B100</f>
        <v>0</v>
      </c>
      <c r="D100" s="567"/>
      <c r="E100" s="566">
        <f>'Sources and Uses Budget'!S100</f>
        <v>0</v>
      </c>
      <c r="F100" s="567"/>
      <c r="G100" s="567">
        <f t="shared" ref="G100:G103" si="12">+C100</f>
        <v>0</v>
      </c>
      <c r="H100" s="566">
        <f>'Sources and Uses Budget'!T100</f>
        <v>0</v>
      </c>
      <c r="I100" s="567"/>
      <c r="J100" s="567"/>
      <c r="K100" s="564"/>
    </row>
    <row r="101" spans="1:11" s="565" customFormat="1">
      <c r="A101" s="215" t="s">
        <v>840</v>
      </c>
      <c r="B101" s="566">
        <f>'Sources and Uses Budget'!C101</f>
        <v>0</v>
      </c>
      <c r="C101" s="567">
        <f t="shared" si="11"/>
        <v>0</v>
      </c>
      <c r="D101" s="567"/>
      <c r="E101" s="566">
        <f>'Sources and Uses Budget'!S101</f>
        <v>0</v>
      </c>
      <c r="F101" s="567"/>
      <c r="G101" s="567">
        <f t="shared" si="12"/>
        <v>0</v>
      </c>
      <c r="H101" s="566">
        <f>'Sources and Uses Budget'!T101</f>
        <v>0</v>
      </c>
      <c r="I101" s="567"/>
      <c r="J101" s="567"/>
      <c r="K101" s="564"/>
    </row>
    <row r="102" spans="1:11" s="565" customFormat="1" ht="12" customHeight="1">
      <c r="A102" s="441" t="s">
        <v>2019</v>
      </c>
      <c r="B102" s="566">
        <f>'Sources and Uses Budget'!C102</f>
        <v>0</v>
      </c>
      <c r="C102" s="567">
        <f t="shared" si="11"/>
        <v>0</v>
      </c>
      <c r="D102" s="567"/>
      <c r="E102" s="566">
        <f>'Sources and Uses Budget'!S102</f>
        <v>0</v>
      </c>
      <c r="F102" s="567"/>
      <c r="G102" s="567">
        <f t="shared" si="12"/>
        <v>0</v>
      </c>
      <c r="H102" s="566">
        <f>'Sources and Uses Budget'!T102</f>
        <v>0</v>
      </c>
      <c r="I102" s="567"/>
      <c r="J102" s="567"/>
      <c r="K102" s="564"/>
    </row>
    <row r="103" spans="1:11" s="565" customFormat="1">
      <c r="A103" s="572" t="str">
        <f>'Sources and Uses Budget'!$A103</f>
        <v>Other: (Specify)</v>
      </c>
      <c r="B103" s="566">
        <f>'Sources and Uses Budget'!C103</f>
        <v>0</v>
      </c>
      <c r="C103" s="567">
        <f t="shared" si="11"/>
        <v>0</v>
      </c>
      <c r="D103" s="567"/>
      <c r="E103" s="566">
        <f>'Sources and Uses Budget'!S103</f>
        <v>0</v>
      </c>
      <c r="F103" s="567"/>
      <c r="G103" s="567">
        <f t="shared" si="12"/>
        <v>0</v>
      </c>
      <c r="H103" s="566">
        <f>'Sources and Uses Budget'!T103</f>
        <v>0</v>
      </c>
      <c r="I103" s="567"/>
      <c r="J103" s="567"/>
      <c r="K103" s="564"/>
    </row>
    <row r="104" spans="1:11" s="565" customFormat="1">
      <c r="A104" s="570" t="s">
        <v>841</v>
      </c>
      <c r="B104" s="566">
        <f>'Sources and Uses Budget'!C104</f>
        <v>3500000</v>
      </c>
      <c r="C104" s="566">
        <f>SUM(C99:C103)</f>
        <v>0</v>
      </c>
      <c r="D104" s="566">
        <f>SUM(D99:D103)</f>
        <v>0</v>
      </c>
      <c r="E104" s="566">
        <f>'Sources and Uses Budget'!S104</f>
        <v>3500000</v>
      </c>
      <c r="F104" s="573">
        <f>SUM(F99:F103)</f>
        <v>0</v>
      </c>
      <c r="G104" s="573">
        <f>SUM(G99:G103)</f>
        <v>0</v>
      </c>
      <c r="H104" s="566">
        <f>'Sources and Uses Budget'!T104</f>
        <v>0</v>
      </c>
      <c r="I104" s="573">
        <f>SUM(I99:I103)</f>
        <v>0</v>
      </c>
      <c r="J104" s="573">
        <f>SUM(J99:J103)</f>
        <v>0</v>
      </c>
      <c r="K104" s="564"/>
    </row>
    <row r="105" spans="1:11" s="565" customFormat="1">
      <c r="A105" s="570" t="s">
        <v>1147</v>
      </c>
      <c r="B105" s="566">
        <f ca="1">'Sources and Uses Budget'!C105</f>
        <v>45364634.187312514</v>
      </c>
      <c r="C105" s="573">
        <f>SUM(C97+C104)</f>
        <v>0</v>
      </c>
      <c r="D105" s="573">
        <f>SUM(D97+D104)</f>
        <v>0</v>
      </c>
      <c r="E105" s="566">
        <f ca="1">'Sources and Uses Budget'!S105</f>
        <v>39990622.096823953</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 ca="1">'Sources and Uses Budget'!S107</f>
        <v>39990622.096823953</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477"/>
      <c r="E124" s="2478"/>
      <c r="F124" s="2478"/>
      <c r="G124" s="2478"/>
      <c r="H124" s="2478"/>
      <c r="I124" s="2478"/>
      <c r="J124" s="584"/>
      <c r="K124" s="564"/>
    </row>
    <row r="125" spans="1:11" s="565" customFormat="1" ht="12.75">
      <c r="A125" s="595"/>
      <c r="B125" s="594"/>
      <c r="C125" s="595"/>
      <c r="D125" s="2478"/>
      <c r="E125" s="2478"/>
      <c r="F125" s="2478"/>
      <c r="G125" s="2478"/>
      <c r="H125" s="2478"/>
      <c r="I125" s="2478"/>
      <c r="J125" s="584"/>
      <c r="K125" s="564"/>
    </row>
    <row r="126" spans="1:11" s="565" customFormat="1" ht="12.75">
      <c r="A126" s="595"/>
      <c r="B126" s="594"/>
      <c r="C126" s="595"/>
      <c r="D126" s="2478"/>
      <c r="E126" s="2478"/>
      <c r="F126" s="2478"/>
      <c r="G126" s="2478"/>
      <c r="H126" s="2478"/>
      <c r="I126" s="2478"/>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479"/>
      <c r="B139" s="2480"/>
      <c r="C139" s="2480"/>
      <c r="D139" s="607"/>
      <c r="E139" s="595"/>
      <c r="F139" s="595"/>
      <c r="G139" s="595"/>
    </row>
    <row r="140" spans="1:11" ht="12" customHeight="1">
      <c r="A140" s="2481"/>
      <c r="B140" s="2482"/>
      <c r="C140" s="2482"/>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L4" sqref="L4:AC4"/>
    </sheetView>
  </sheetViews>
  <sheetFormatPr defaultColWidth="2.7109375" defaultRowHeight="15.75" customHeight="1"/>
  <cols>
    <col min="1" max="37" width="2.7109375" style="1447"/>
    <col min="38" max="38" width="3" style="1447" customWidth="1"/>
    <col min="39" max="64" width="2.7109375" style="1447"/>
    <col min="65" max="65" width="6.28515625" style="1447" bestFit="1" customWidth="1"/>
    <col min="66" max="70" width="5.5703125" style="1447" bestFit="1" customWidth="1"/>
    <col min="71" max="71" width="6.28515625" style="1447" bestFit="1" customWidth="1"/>
    <col min="72" max="76" width="5.5703125" style="1447" bestFit="1" customWidth="1"/>
    <col min="77" max="77" width="6.28515625" style="1447" bestFit="1" customWidth="1"/>
    <col min="78" max="78" width="5.5703125" style="1447" bestFit="1" customWidth="1"/>
    <col min="79" max="16384" width="2.7109375" style="1447"/>
  </cols>
  <sheetData>
    <row r="1" spans="1:58" ht="15.75" customHeight="1">
      <c r="A1" s="2868" t="s">
        <v>2051</v>
      </c>
      <c r="B1" s="2869"/>
      <c r="C1" s="2869"/>
      <c r="D1" s="2869"/>
      <c r="E1" s="2869"/>
      <c r="F1" s="2869"/>
      <c r="G1" s="2869"/>
      <c r="H1" s="2869"/>
      <c r="I1" s="2869"/>
      <c r="J1" s="2869"/>
      <c r="K1" s="2869"/>
      <c r="L1" s="2869"/>
      <c r="M1" s="2869"/>
      <c r="N1" s="2869"/>
      <c r="O1" s="2869"/>
      <c r="P1" s="2869"/>
      <c r="Q1" s="2869"/>
      <c r="R1" s="2869"/>
      <c r="S1" s="2869"/>
      <c r="T1" s="2869"/>
      <c r="U1" s="2869"/>
      <c r="V1" s="2869"/>
      <c r="W1" s="2869"/>
      <c r="X1" s="2869"/>
      <c r="Y1" s="2869"/>
      <c r="Z1" s="2869"/>
      <c r="AA1" s="2869"/>
      <c r="AB1" s="2869"/>
      <c r="AC1" s="2869"/>
      <c r="AD1" s="2869"/>
      <c r="AE1" s="2869"/>
      <c r="AF1" s="2869"/>
      <c r="AG1" s="2869"/>
      <c r="AH1" s="2869"/>
      <c r="AI1" s="2869"/>
      <c r="AJ1" s="2869"/>
      <c r="AK1" s="2869"/>
      <c r="AL1" s="2869"/>
      <c r="AM1" s="2869"/>
      <c r="AN1" s="2869"/>
      <c r="AO1" s="2869"/>
      <c r="AP1" s="2869"/>
      <c r="AQ1" s="2869"/>
      <c r="AR1" s="2869"/>
      <c r="AS1" s="2869"/>
      <c r="AT1" s="2869"/>
      <c r="AU1" s="2869"/>
      <c r="AV1" s="2869"/>
      <c r="AW1" s="2869"/>
      <c r="AX1" s="2869"/>
      <c r="AY1" s="2869"/>
      <c r="AZ1" s="2869"/>
      <c r="BA1" s="2869"/>
      <c r="BB1" s="2869"/>
      <c r="BC1" s="2869"/>
      <c r="BD1" s="2869"/>
      <c r="BE1" s="2870"/>
    </row>
    <row r="2" spans="1:58" ht="15.75" customHeight="1">
      <c r="A2" s="2871" t="s">
        <v>2052</v>
      </c>
      <c r="B2" s="2872"/>
      <c r="C2" s="2872"/>
      <c r="D2" s="2872"/>
      <c r="E2" s="2872"/>
      <c r="F2" s="2872"/>
      <c r="G2" s="2872"/>
      <c r="H2" s="2872"/>
      <c r="I2" s="2872"/>
      <c r="J2" s="2872"/>
      <c r="K2" s="2872"/>
      <c r="L2" s="2872"/>
      <c r="M2" s="2872"/>
      <c r="N2" s="2872"/>
      <c r="O2" s="2872"/>
      <c r="P2" s="2872"/>
      <c r="Q2" s="2872"/>
      <c r="R2" s="2872"/>
      <c r="S2" s="2872"/>
      <c r="T2" s="2872"/>
      <c r="U2" s="2872"/>
      <c r="V2" s="2872"/>
      <c r="W2" s="2872"/>
      <c r="X2" s="2872"/>
      <c r="Y2" s="2872"/>
      <c r="Z2" s="2872"/>
      <c r="AA2" s="2872"/>
      <c r="AB2" s="2872"/>
      <c r="AC2" s="2872"/>
      <c r="AD2" s="2872"/>
      <c r="AE2" s="2872"/>
      <c r="AF2" s="2872"/>
      <c r="AG2" s="2872"/>
      <c r="AH2" s="2872"/>
      <c r="AI2" s="2872"/>
      <c r="AJ2" s="2872"/>
      <c r="AK2" s="2872"/>
      <c r="AL2" s="2872"/>
      <c r="AM2" s="2872"/>
      <c r="AN2" s="2872"/>
      <c r="AO2" s="2872"/>
      <c r="AP2" s="2872"/>
      <c r="AQ2" s="2872"/>
      <c r="AR2" s="2872"/>
      <c r="AS2" s="2872"/>
      <c r="AT2" s="2872"/>
      <c r="AU2" s="2872"/>
      <c r="AV2" s="2872"/>
      <c r="AW2" s="2872"/>
      <c r="AX2" s="2872"/>
      <c r="AY2" s="2872"/>
      <c r="AZ2" s="2872"/>
      <c r="BA2" s="2872"/>
      <c r="BB2" s="2872"/>
      <c r="BC2" s="2872"/>
      <c r="BD2" s="2872"/>
      <c r="BE2" s="2873"/>
      <c r="BF2" s="1448"/>
    </row>
    <row r="3" spans="1:58" ht="15.75" customHeight="1" thickBot="1">
      <c r="A3" s="1678"/>
      <c r="B3" s="1450"/>
      <c r="C3" s="1450"/>
      <c r="D3" s="1450"/>
      <c r="E3" s="1450"/>
      <c r="F3" s="1450"/>
      <c r="G3" s="1450"/>
      <c r="H3" s="1450"/>
      <c r="I3" s="1450"/>
      <c r="J3" s="1450"/>
      <c r="K3" s="1450"/>
      <c r="L3" s="1450"/>
      <c r="M3" s="1450"/>
      <c r="N3" s="1450"/>
      <c r="O3" s="1450"/>
      <c r="P3" s="1450"/>
      <c r="Q3" s="1450"/>
      <c r="R3" s="1450"/>
      <c r="S3" s="1450"/>
      <c r="T3" s="1450"/>
      <c r="U3" s="1450"/>
      <c r="V3" s="1450"/>
      <c r="W3" s="1450"/>
      <c r="X3" s="1450"/>
      <c r="Y3" s="1450"/>
      <c r="Z3" s="1450"/>
      <c r="AA3" s="1450"/>
      <c r="AB3" s="1450"/>
      <c r="AC3" s="1450"/>
      <c r="AD3" s="1450"/>
      <c r="AE3" s="1450"/>
      <c r="AF3" s="1450"/>
      <c r="AG3" s="1450"/>
      <c r="AH3" s="1450"/>
      <c r="AI3" s="1450"/>
      <c r="AJ3" s="1450"/>
      <c r="AK3" s="1450"/>
      <c r="AL3" s="1450"/>
      <c r="AM3" s="1450"/>
      <c r="AN3" s="1450"/>
      <c r="AO3" s="1450"/>
      <c r="AP3" s="1450"/>
      <c r="AQ3" s="1450"/>
      <c r="AR3" s="1450"/>
      <c r="AS3" s="1450"/>
      <c r="AT3" s="1450"/>
      <c r="AU3" s="1450"/>
      <c r="AV3" s="1450"/>
      <c r="AW3" s="1450"/>
      <c r="AX3" s="1450"/>
      <c r="AY3" s="1450"/>
      <c r="AZ3" s="1450"/>
      <c r="BA3" s="1450"/>
      <c r="BB3" s="1450"/>
      <c r="BC3" s="1450"/>
      <c r="BD3" s="1450"/>
      <c r="BE3" s="1451"/>
    </row>
    <row r="4" spans="1:58" ht="15.75" customHeight="1" thickBot="1">
      <c r="A4" s="1678"/>
      <c r="B4" s="1452" t="s">
        <v>695</v>
      </c>
      <c r="C4" s="1452"/>
      <c r="D4" s="1452"/>
      <c r="E4" s="1452"/>
      <c r="F4" s="1452"/>
      <c r="G4" s="1450"/>
      <c r="H4" s="1450"/>
      <c r="I4" s="1450"/>
      <c r="J4" s="1450"/>
      <c r="K4" s="1450"/>
      <c r="L4" s="2874" t="str">
        <f>IF(Application!H18="","",Application!H18)</f>
        <v>CHISPA East Garrison Apartments</v>
      </c>
      <c r="M4" s="2875"/>
      <c r="N4" s="2875"/>
      <c r="O4" s="2875"/>
      <c r="P4" s="2875"/>
      <c r="Q4" s="2875"/>
      <c r="R4" s="2875"/>
      <c r="S4" s="2875"/>
      <c r="T4" s="2875"/>
      <c r="U4" s="2875"/>
      <c r="V4" s="2875"/>
      <c r="W4" s="2875"/>
      <c r="X4" s="2875"/>
      <c r="Y4" s="2875"/>
      <c r="Z4" s="2875"/>
      <c r="AA4" s="2875"/>
      <c r="AB4" s="2875"/>
      <c r="AC4" s="2876"/>
      <c r="AD4" s="1450"/>
      <c r="AE4" s="1450"/>
      <c r="AF4" s="2579" t="s">
        <v>2053</v>
      </c>
      <c r="AG4" s="2580"/>
      <c r="AH4" s="2580"/>
      <c r="AI4" s="2580"/>
      <c r="AJ4" s="2580"/>
      <c r="AK4" s="2580"/>
      <c r="AL4" s="2580"/>
      <c r="AM4" s="2580"/>
      <c r="AN4" s="2580"/>
      <c r="AO4" s="2580"/>
      <c r="AP4" s="2877">
        <v>44197</v>
      </c>
      <c r="AQ4" s="2847"/>
      <c r="AR4" s="2847"/>
      <c r="AS4" s="2847"/>
      <c r="AT4" s="2847"/>
      <c r="AU4" s="2848"/>
      <c r="AV4" s="1450"/>
      <c r="AW4" s="1450"/>
      <c r="AX4" s="1450"/>
      <c r="AY4" s="1450"/>
      <c r="AZ4" s="1450"/>
      <c r="BA4" s="1450"/>
      <c r="BB4" s="1450"/>
      <c r="BC4" s="1450"/>
      <c r="BD4" s="1450"/>
      <c r="BE4" s="1451"/>
    </row>
    <row r="5" spans="1:58" ht="15.75" customHeight="1" thickBot="1">
      <c r="A5" s="1678"/>
      <c r="B5" s="1450"/>
      <c r="C5" s="1450"/>
      <c r="D5" s="1450"/>
      <c r="E5" s="1450"/>
      <c r="F5" s="1450"/>
      <c r="G5" s="1450"/>
      <c r="H5" s="1450"/>
      <c r="I5" s="1450"/>
      <c r="J5" s="1450"/>
      <c r="K5" s="1450"/>
      <c r="L5" s="1450"/>
      <c r="M5" s="1450"/>
      <c r="N5" s="1450"/>
      <c r="O5" s="1450"/>
      <c r="P5" s="1450"/>
      <c r="Q5" s="1450"/>
      <c r="R5" s="1450"/>
      <c r="S5" s="1450"/>
      <c r="T5" s="1450"/>
      <c r="U5" s="1450"/>
      <c r="V5" s="1450"/>
      <c r="W5" s="1450"/>
      <c r="X5" s="1450"/>
      <c r="Y5" s="1450"/>
      <c r="Z5" s="1450"/>
      <c r="AA5" s="1450"/>
      <c r="AB5" s="1450"/>
      <c r="AC5" s="1450"/>
      <c r="AD5" s="1450"/>
      <c r="AE5" s="1450"/>
      <c r="AF5" s="2596" t="s">
        <v>2054</v>
      </c>
      <c r="AG5" s="2597"/>
      <c r="AH5" s="2597"/>
      <c r="AI5" s="2597"/>
      <c r="AJ5" s="2597"/>
      <c r="AK5" s="2597"/>
      <c r="AL5" s="2597"/>
      <c r="AM5" s="2597"/>
      <c r="AN5" s="2597"/>
      <c r="AO5" s="2597"/>
      <c r="AP5" s="2877">
        <v>44197</v>
      </c>
      <c r="AQ5" s="2847"/>
      <c r="AR5" s="2847"/>
      <c r="AS5" s="2847"/>
      <c r="AT5" s="2847"/>
      <c r="AU5" s="2848"/>
      <c r="AV5" s="1450"/>
      <c r="AW5" s="1450"/>
      <c r="AX5" s="1450"/>
      <c r="AY5" s="1450"/>
      <c r="AZ5" s="1450"/>
      <c r="BA5" s="1450"/>
      <c r="BB5" s="1450"/>
      <c r="BC5" s="1450"/>
      <c r="BD5" s="1450"/>
      <c r="BE5" s="1451"/>
    </row>
    <row r="6" spans="1:58" ht="15.75" customHeight="1" thickBot="1">
      <c r="A6" s="1678"/>
      <c r="B6" s="1452" t="s">
        <v>2055</v>
      </c>
      <c r="C6" s="1450"/>
      <c r="D6" s="1450"/>
      <c r="E6" s="1450"/>
      <c r="F6" s="1450"/>
      <c r="G6" s="1450"/>
      <c r="H6" s="1450"/>
      <c r="I6" s="1450"/>
      <c r="J6" s="1450"/>
      <c r="K6" s="1450"/>
      <c r="L6" s="2853" t="str">
        <f>IF(Application!H16="","",Application!H16)</f>
        <v>CHISPA East Garrison LP</v>
      </c>
      <c r="M6" s="2854"/>
      <c r="N6" s="2854"/>
      <c r="O6" s="2854"/>
      <c r="P6" s="2854"/>
      <c r="Q6" s="2854"/>
      <c r="R6" s="2854"/>
      <c r="S6" s="2854"/>
      <c r="T6" s="2854"/>
      <c r="U6" s="2854"/>
      <c r="V6" s="2854"/>
      <c r="W6" s="2854"/>
      <c r="X6" s="2854"/>
      <c r="Y6" s="2854"/>
      <c r="Z6" s="2854"/>
      <c r="AA6" s="2854"/>
      <c r="AB6" s="2854"/>
      <c r="AC6" s="2855"/>
      <c r="AD6" s="1450"/>
      <c r="AE6" s="1450"/>
      <c r="AF6" s="1450"/>
      <c r="AG6" s="1450"/>
      <c r="AH6" s="1450"/>
      <c r="AI6" s="1450"/>
      <c r="AJ6" s="1450"/>
      <c r="AK6" s="1450"/>
      <c r="AL6" s="1450"/>
      <c r="AM6" s="1450"/>
      <c r="AN6" s="1450"/>
      <c r="AO6" s="1450"/>
      <c r="AP6" s="1450"/>
      <c r="AQ6" s="1450"/>
      <c r="AR6" s="1450"/>
      <c r="AS6" s="1450"/>
      <c r="AT6" s="1450"/>
      <c r="AU6" s="1450"/>
      <c r="AV6" s="1450"/>
      <c r="AW6" s="1450"/>
      <c r="AX6" s="1450"/>
      <c r="AY6" s="1450"/>
      <c r="AZ6" s="1450"/>
      <c r="BA6" s="1450"/>
      <c r="BB6" s="1450"/>
      <c r="BC6" s="1450"/>
      <c r="BD6" s="1450"/>
      <c r="BE6" s="1451"/>
    </row>
    <row r="7" spans="1:58" thickBot="1">
      <c r="A7" s="1678"/>
      <c r="B7" s="1450"/>
      <c r="C7" s="1450"/>
      <c r="D7" s="1450"/>
      <c r="E7" s="1450"/>
      <c r="F7" s="1450"/>
      <c r="G7" s="1450"/>
      <c r="H7" s="1450"/>
      <c r="I7" s="1450"/>
      <c r="J7" s="1450"/>
      <c r="K7" s="1450"/>
      <c r="L7" s="1450"/>
      <c r="M7" s="1450"/>
      <c r="N7" s="1450"/>
      <c r="O7" s="1450"/>
      <c r="P7" s="1450"/>
      <c r="Q7" s="1450"/>
      <c r="R7" s="1450"/>
      <c r="S7" s="1450"/>
      <c r="T7" s="1450"/>
      <c r="U7" s="1450"/>
      <c r="V7" s="1450"/>
      <c r="W7" s="1450"/>
      <c r="X7" s="1450"/>
      <c r="Y7" s="1450"/>
      <c r="Z7" s="1450"/>
      <c r="AA7" s="1450"/>
      <c r="AB7" s="1450"/>
      <c r="AC7" s="1450"/>
      <c r="AD7" s="1450"/>
      <c r="AE7" s="1450"/>
      <c r="AF7" s="1450"/>
      <c r="AG7" s="1450"/>
      <c r="AH7" s="1450"/>
      <c r="AI7" s="1450"/>
      <c r="AJ7" s="1450"/>
      <c r="AK7" s="1450"/>
      <c r="AL7" s="1450"/>
      <c r="AM7" s="1450"/>
      <c r="AN7" s="1450"/>
      <c r="AO7" s="1450"/>
      <c r="AP7" s="1450"/>
      <c r="AQ7" s="1450"/>
      <c r="AR7" s="1450"/>
      <c r="AS7" s="1450"/>
      <c r="AT7" s="1450"/>
      <c r="AU7" s="1450"/>
      <c r="AV7" s="1450"/>
      <c r="AW7" s="1450"/>
      <c r="AX7" s="1450"/>
      <c r="AY7" s="1450"/>
      <c r="AZ7" s="1450"/>
      <c r="BA7" s="1450"/>
      <c r="BB7" s="1450"/>
      <c r="BC7" s="1450"/>
      <c r="BD7" s="1450"/>
      <c r="BE7" s="1451"/>
    </row>
    <row r="8" spans="1:58" thickBot="1">
      <c r="A8" s="1678"/>
      <c r="B8" s="1452" t="s">
        <v>2056</v>
      </c>
      <c r="C8" s="1450"/>
      <c r="D8" s="1450"/>
      <c r="E8" s="1450"/>
      <c r="F8" s="1450"/>
      <c r="G8" s="1450"/>
      <c r="H8" s="1450"/>
      <c r="I8" s="1450"/>
      <c r="J8" s="1450"/>
      <c r="K8" s="1450"/>
      <c r="L8" s="1450"/>
      <c r="M8" s="1450"/>
      <c r="N8" s="1450"/>
      <c r="O8" s="1450"/>
      <c r="P8" s="1450"/>
      <c r="Q8" s="1450"/>
      <c r="R8" s="1450"/>
      <c r="S8" s="1450"/>
      <c r="T8" s="1450"/>
      <c r="U8" s="1450"/>
      <c r="V8" s="1450"/>
      <c r="W8" s="1450"/>
      <c r="X8" s="1450"/>
      <c r="Y8" s="1450"/>
      <c r="Z8" s="1450"/>
      <c r="AA8" s="1450"/>
      <c r="AB8" s="2856" t="str">
        <f>Application!T196</f>
        <v>No</v>
      </c>
      <c r="AC8" s="2857"/>
      <c r="AD8" s="2858"/>
      <c r="AE8" s="1450"/>
      <c r="AF8" s="1450"/>
      <c r="AG8" s="1450"/>
      <c r="AH8" s="1450"/>
      <c r="AI8" s="1450"/>
      <c r="AJ8" s="1450"/>
      <c r="AK8" s="1450"/>
      <c r="AL8" s="1450"/>
      <c r="AM8" s="1450"/>
      <c r="AN8" s="1450"/>
      <c r="AO8" s="1450"/>
      <c r="AP8" s="1450"/>
      <c r="AQ8" s="1450"/>
      <c r="AR8" s="1450"/>
      <c r="AS8" s="1450"/>
      <c r="AT8" s="1450"/>
      <c r="AU8" s="1450"/>
      <c r="AV8" s="1450"/>
      <c r="AW8" s="1450"/>
      <c r="AX8" s="1450"/>
      <c r="AY8" s="1450"/>
      <c r="AZ8" s="1450"/>
      <c r="BA8" s="1450"/>
      <c r="BB8" s="1450"/>
      <c r="BC8" s="1450"/>
      <c r="BD8" s="1450"/>
      <c r="BE8" s="1451"/>
    </row>
    <row r="9" spans="1:58" thickBot="1">
      <c r="A9" s="1679"/>
      <c r="B9" s="1450"/>
      <c r="C9" s="1450"/>
      <c r="D9" s="1450"/>
      <c r="E9" s="1450"/>
      <c r="F9" s="1450"/>
      <c r="G9" s="1450"/>
      <c r="H9" s="1450"/>
      <c r="I9" s="1450"/>
      <c r="J9" s="1450"/>
      <c r="K9" s="1450"/>
      <c r="L9" s="1450"/>
      <c r="M9" s="1450"/>
      <c r="N9" s="1450"/>
      <c r="O9" s="1450"/>
      <c r="P9" s="1450"/>
      <c r="Q9" s="1450"/>
      <c r="R9" s="1450"/>
      <c r="S9" s="1450"/>
      <c r="T9" s="1450"/>
      <c r="U9" s="1450"/>
      <c r="V9" s="1450"/>
      <c r="W9" s="1450"/>
      <c r="X9" s="1450"/>
      <c r="Y9" s="1450"/>
      <c r="Z9" s="1450"/>
      <c r="AA9" s="1450"/>
      <c r="AB9" s="1450"/>
      <c r="AC9" s="1450"/>
      <c r="AD9" s="1450"/>
      <c r="AE9" s="1450"/>
      <c r="AF9" s="1450"/>
      <c r="AG9" s="1450"/>
      <c r="AH9" s="1450"/>
      <c r="AI9" s="1450"/>
      <c r="AJ9" s="1450"/>
      <c r="AK9" s="1450"/>
      <c r="AL9" s="1450"/>
      <c r="AM9" s="1450"/>
      <c r="AN9" s="1450"/>
      <c r="AO9" s="1450"/>
      <c r="AP9" s="1450"/>
      <c r="AQ9" s="1453"/>
      <c r="AR9" s="1453"/>
      <c r="AS9" s="1450"/>
      <c r="AT9" s="1450"/>
      <c r="AU9" s="1450"/>
      <c r="AV9" s="1450"/>
      <c r="AW9" s="1450"/>
      <c r="AX9" s="1450"/>
      <c r="AY9" s="1450"/>
      <c r="AZ9" s="1450"/>
      <c r="BA9" s="1450"/>
      <c r="BB9" s="1450"/>
      <c r="BC9" s="1450"/>
      <c r="BD9" s="1450"/>
      <c r="BE9" s="1451"/>
    </row>
    <row r="10" spans="1:58" thickBot="1">
      <c r="A10" s="1678"/>
      <c r="B10" s="1452" t="s">
        <v>2058</v>
      </c>
      <c r="C10" s="1452"/>
      <c r="D10" s="1452"/>
      <c r="E10" s="1452"/>
      <c r="F10" s="1452"/>
      <c r="G10" s="1452"/>
      <c r="H10" s="1452"/>
      <c r="I10" s="1452"/>
      <c r="J10" s="1452"/>
      <c r="K10" s="1452"/>
      <c r="L10" s="1452"/>
      <c r="M10" s="1450"/>
      <c r="N10" s="2859" t="e">
        <f>VLOOKUP("CalHFA Permanent Loan",Application!C564:AS575,37,TRUE)</f>
        <v>#N/A</v>
      </c>
      <c r="O10" s="2860"/>
      <c r="P10" s="2860"/>
      <c r="Q10" s="2860"/>
      <c r="R10" s="2860"/>
      <c r="S10" s="2860"/>
      <c r="T10" s="2861"/>
      <c r="U10" s="1450"/>
      <c r="V10" s="1450"/>
      <c r="W10" s="1450"/>
      <c r="X10" s="2581" t="s">
        <v>2059</v>
      </c>
      <c r="Y10" s="2582"/>
      <c r="Z10" s="2582"/>
      <c r="AA10" s="2582"/>
      <c r="AB10" s="2582"/>
      <c r="AC10" s="2582"/>
      <c r="AD10" s="2582"/>
      <c r="AE10" s="2582"/>
      <c r="AF10" s="2582"/>
      <c r="AG10" s="2582"/>
      <c r="AH10" s="2582"/>
      <c r="AI10" s="2582"/>
      <c r="AJ10" s="2582"/>
      <c r="AK10" s="2583"/>
      <c r="AL10" s="2881" t="str">
        <f>Application!W471</f>
        <v>N/A</v>
      </c>
      <c r="AM10" s="2882"/>
      <c r="AN10" s="2882"/>
      <c r="AO10" s="2882"/>
      <c r="AP10" s="2883"/>
      <c r="AQ10" s="1453"/>
      <c r="AR10" s="1453"/>
      <c r="AS10" s="1453"/>
      <c r="AT10" s="1453"/>
      <c r="AU10" s="1453"/>
      <c r="AV10" s="1453"/>
      <c r="AW10" s="1453"/>
      <c r="AX10" s="1450"/>
      <c r="AY10" s="1450"/>
      <c r="AZ10" s="1450"/>
      <c r="BA10" s="1450"/>
      <c r="BB10" s="1450"/>
      <c r="BC10" s="1450"/>
      <c r="BD10" s="1450"/>
      <c r="BE10" s="1451"/>
    </row>
    <row r="11" spans="1:58" thickBot="1">
      <c r="A11" s="1678"/>
      <c r="B11" s="1452" t="s">
        <v>2060</v>
      </c>
      <c r="C11" s="1452"/>
      <c r="D11" s="1452"/>
      <c r="E11" s="1452"/>
      <c r="F11" s="1452"/>
      <c r="G11" s="1452"/>
      <c r="H11" s="1452"/>
      <c r="I11" s="1452"/>
      <c r="J11" s="1452"/>
      <c r="K11" s="1452"/>
      <c r="L11" s="1452"/>
      <c r="M11" s="1450"/>
      <c r="N11" s="2862">
        <f>Application!AA925</f>
        <v>0</v>
      </c>
      <c r="O11" s="2863"/>
      <c r="P11" s="2863"/>
      <c r="Q11" s="2863"/>
      <c r="R11" s="2863"/>
      <c r="S11" s="2863"/>
      <c r="T11" s="2864"/>
      <c r="U11" s="1450"/>
      <c r="V11" s="1450"/>
      <c r="W11" s="1450"/>
      <c r="X11" s="2865" t="s">
        <v>2061</v>
      </c>
      <c r="Y11" s="2866"/>
      <c r="Z11" s="2866"/>
      <c r="AA11" s="2866"/>
      <c r="AB11" s="2866"/>
      <c r="AC11" s="2866"/>
      <c r="AD11" s="2866"/>
      <c r="AE11" s="2866"/>
      <c r="AF11" s="2866"/>
      <c r="AG11" s="2866"/>
      <c r="AH11" s="2866"/>
      <c r="AI11" s="2866"/>
      <c r="AJ11" s="2866"/>
      <c r="AK11" s="2867"/>
      <c r="AL11" s="2878">
        <v>44197</v>
      </c>
      <c r="AM11" s="2879"/>
      <c r="AN11" s="2879"/>
      <c r="AO11" s="2879"/>
      <c r="AP11" s="2880"/>
      <c r="AQ11" s="1454"/>
      <c r="AR11" s="1455"/>
      <c r="AS11" s="1453"/>
      <c r="AT11" s="1453"/>
      <c r="AU11" s="1453"/>
      <c r="AV11" s="1453"/>
      <c r="AW11" s="1453"/>
      <c r="AX11" s="1450"/>
      <c r="AY11" s="1450"/>
      <c r="AZ11" s="1450"/>
      <c r="BA11" s="1450"/>
      <c r="BB11" s="1450"/>
      <c r="BC11" s="1450"/>
      <c r="BD11" s="1450"/>
      <c r="BE11" s="1451"/>
    </row>
    <row r="12" spans="1:58" thickBot="1">
      <c r="A12" s="1679"/>
      <c r="B12" s="1450"/>
      <c r="C12" s="1450"/>
      <c r="D12" s="1450"/>
      <c r="E12" s="1450"/>
      <c r="F12" s="1450"/>
      <c r="G12" s="1450"/>
      <c r="H12" s="1450"/>
      <c r="I12" s="1450"/>
      <c r="J12" s="1450"/>
      <c r="K12" s="1450"/>
      <c r="L12" s="1450"/>
      <c r="M12" s="1450"/>
      <c r="N12" s="1450"/>
      <c r="O12" s="1450"/>
      <c r="P12" s="1450"/>
      <c r="Q12" s="1450"/>
      <c r="R12" s="1450"/>
      <c r="S12" s="1450"/>
      <c r="T12" s="1450"/>
      <c r="U12" s="1450"/>
      <c r="V12" s="1450"/>
      <c r="W12" s="1450"/>
      <c r="X12" s="2581" t="s">
        <v>2062</v>
      </c>
      <c r="Y12" s="2582"/>
      <c r="Z12" s="2582"/>
      <c r="AA12" s="2582"/>
      <c r="AB12" s="2582"/>
      <c r="AC12" s="2582"/>
      <c r="AD12" s="2582"/>
      <c r="AE12" s="2582"/>
      <c r="AF12" s="2582"/>
      <c r="AG12" s="2582"/>
      <c r="AH12" s="2582"/>
      <c r="AI12" s="2582"/>
      <c r="AJ12" s="2582"/>
      <c r="AK12" s="2583"/>
      <c r="AL12" s="2878">
        <v>44197</v>
      </c>
      <c r="AM12" s="2879"/>
      <c r="AN12" s="2879"/>
      <c r="AO12" s="2879"/>
      <c r="AP12" s="2880"/>
      <c r="AQ12" s="1453"/>
      <c r="AR12" s="1453"/>
      <c r="AS12" s="1453"/>
      <c r="AT12" s="1453"/>
      <c r="AU12" s="1453"/>
      <c r="AV12" s="1450"/>
      <c r="AW12" s="1450"/>
      <c r="AX12" s="1450"/>
      <c r="AY12" s="1450"/>
      <c r="AZ12" s="1450"/>
      <c r="BA12" s="1450"/>
      <c r="BB12" s="1450"/>
      <c r="BC12" s="1450"/>
      <c r="BD12" s="1450"/>
      <c r="BE12" s="1456"/>
    </row>
    <row r="13" spans="1:58" thickBot="1">
      <c r="A13" s="1679"/>
      <c r="B13" s="2581" t="s">
        <v>2063</v>
      </c>
      <c r="C13" s="2582"/>
      <c r="D13" s="2582"/>
      <c r="E13" s="2582"/>
      <c r="F13" s="2582"/>
      <c r="G13" s="2582"/>
      <c r="H13" s="2582"/>
      <c r="I13" s="2582"/>
      <c r="J13" s="2582"/>
      <c r="K13" s="2582"/>
      <c r="L13" s="2582"/>
      <c r="M13" s="2582"/>
      <c r="N13" s="2582"/>
      <c r="O13" s="2582"/>
      <c r="P13" s="2583"/>
      <c r="Q13" s="2846" t="s">
        <v>2057</v>
      </c>
      <c r="R13" s="2847"/>
      <c r="S13" s="2847"/>
      <c r="T13" s="2848"/>
      <c r="U13" s="1453"/>
      <c r="V13" s="1450"/>
      <c r="W13" s="1450"/>
      <c r="X13" s="1450"/>
      <c r="Y13" s="1450"/>
      <c r="Z13" s="1450"/>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6"/>
    </row>
    <row r="14" spans="1:58" thickBot="1">
      <c r="A14" s="1679"/>
      <c r="B14" s="1450"/>
      <c r="C14" s="1450"/>
      <c r="D14" s="1450"/>
      <c r="E14" s="1450"/>
      <c r="F14" s="1450"/>
      <c r="G14" s="1450"/>
      <c r="H14" s="1450"/>
      <c r="I14" s="1450"/>
      <c r="J14" s="1450"/>
      <c r="K14" s="1450"/>
      <c r="L14" s="1450"/>
      <c r="M14" s="1450"/>
      <c r="N14" s="1450"/>
      <c r="O14" s="1450"/>
      <c r="P14" s="1450"/>
      <c r="Q14" s="1450"/>
      <c r="R14" s="1450"/>
      <c r="S14" s="1450"/>
      <c r="T14" s="1450"/>
      <c r="U14" s="1450"/>
      <c r="V14" s="1450"/>
      <c r="W14" s="1450"/>
      <c r="X14" s="1450"/>
      <c r="Y14" s="1450"/>
      <c r="Z14" s="1450"/>
      <c r="AA14" s="1453"/>
      <c r="AB14" s="1453"/>
      <c r="AC14" s="1453"/>
      <c r="AD14" s="1453"/>
      <c r="AE14" s="1453"/>
      <c r="AF14" s="1453"/>
      <c r="AG14" s="1453"/>
      <c r="AH14" s="1453"/>
      <c r="AI14" s="1453"/>
      <c r="AJ14" s="1453"/>
      <c r="AK14" s="1453"/>
      <c r="AL14" s="1453"/>
      <c r="AM14" s="1453"/>
      <c r="AN14" s="1453"/>
      <c r="AO14" s="1453"/>
      <c r="AP14" s="1453"/>
      <c r="AQ14" s="1453"/>
      <c r="AR14" s="1453"/>
      <c r="AS14" s="1453"/>
      <c r="AT14" s="1453"/>
      <c r="AU14" s="1453"/>
      <c r="AV14" s="1453"/>
      <c r="AW14" s="1453"/>
      <c r="AX14" s="1453"/>
      <c r="AY14" s="1453"/>
      <c r="AZ14" s="1453"/>
      <c r="BA14" s="1453"/>
      <c r="BB14" s="1453"/>
      <c r="BC14" s="1453"/>
      <c r="BD14" s="1453"/>
      <c r="BE14" s="1456"/>
    </row>
    <row r="15" spans="1:58" ht="15">
      <c r="A15" s="1679"/>
      <c r="B15" s="2849" t="s">
        <v>2064</v>
      </c>
      <c r="C15" s="2849"/>
      <c r="D15" s="2849"/>
      <c r="E15" s="2849"/>
      <c r="F15" s="2849"/>
      <c r="G15" s="2849"/>
      <c r="H15" s="2849"/>
      <c r="I15" s="2849"/>
      <c r="J15" s="2849"/>
      <c r="K15" s="2849"/>
      <c r="L15" s="2850"/>
      <c r="M15" s="2579" t="s">
        <v>2065</v>
      </c>
      <c r="N15" s="2580"/>
      <c r="O15" s="2580"/>
      <c r="P15" s="2580"/>
      <c r="Q15" s="2580"/>
      <c r="R15" s="2580"/>
      <c r="S15" s="2851" t="str">
        <f>IF(Application!AB214="","",Application!AB214)</f>
        <v/>
      </c>
      <c r="T15" s="2851"/>
      <c r="U15" s="2851"/>
      <c r="V15" s="2851"/>
      <c r="W15" s="2852"/>
      <c r="X15" s="1453"/>
      <c r="Y15" s="1450"/>
      <c r="Z15" s="1450"/>
      <c r="AA15" s="1453"/>
      <c r="AB15" s="1453"/>
      <c r="AC15" s="1453"/>
      <c r="AD15" s="1453"/>
      <c r="AE15" s="1453"/>
      <c r="AF15" s="1453"/>
      <c r="AG15" s="1453"/>
      <c r="AH15" s="1453"/>
      <c r="AI15" s="1453"/>
      <c r="AJ15" s="1453"/>
      <c r="AK15" s="1453"/>
      <c r="AL15" s="1453"/>
      <c r="AM15" s="1453"/>
      <c r="AN15" s="1453"/>
      <c r="AO15" s="1453"/>
      <c r="AP15" s="1453"/>
      <c r="AQ15" s="1453"/>
      <c r="AR15" s="1453"/>
      <c r="AS15" s="1453"/>
      <c r="AT15" s="1453"/>
      <c r="AU15" s="1453"/>
      <c r="AV15" s="1453"/>
      <c r="AW15" s="1453"/>
      <c r="AX15" s="1453"/>
      <c r="AY15" s="1453"/>
      <c r="AZ15" s="1453"/>
      <c r="BA15" s="1453"/>
      <c r="BB15" s="1453"/>
      <c r="BC15" s="1453"/>
      <c r="BD15" s="1453"/>
      <c r="BE15" s="1456"/>
    </row>
    <row r="16" spans="1:58" thickBot="1">
      <c r="A16" s="1678"/>
      <c r="B16" s="1450"/>
      <c r="C16" s="1450"/>
      <c r="D16" s="1450"/>
      <c r="E16" s="1450"/>
      <c r="F16" s="1450"/>
      <c r="G16" s="1450"/>
      <c r="H16" s="1450"/>
      <c r="I16" s="1450"/>
      <c r="J16" s="1450"/>
      <c r="K16" s="1450"/>
      <c r="L16" s="1450"/>
      <c r="M16" s="1450"/>
      <c r="N16" s="1450"/>
      <c r="O16" s="1450"/>
      <c r="P16" s="1450"/>
      <c r="Q16" s="1450"/>
      <c r="R16" s="1450"/>
      <c r="S16" s="1450"/>
      <c r="T16" s="1450"/>
      <c r="U16" s="1450"/>
      <c r="V16" s="1450"/>
      <c r="W16" s="1450"/>
      <c r="X16" s="1450"/>
      <c r="Y16" s="1450"/>
      <c r="Z16" s="1450"/>
      <c r="AA16" s="1450"/>
      <c r="AB16" s="1450"/>
      <c r="AC16" s="1450"/>
      <c r="AD16" s="1450"/>
      <c r="AE16" s="1450"/>
      <c r="AF16" s="1450"/>
      <c r="AG16" s="1450"/>
      <c r="AH16" s="1450"/>
      <c r="AI16" s="1450"/>
      <c r="AJ16" s="1450"/>
      <c r="AK16" s="1450"/>
      <c r="AL16" s="1450"/>
      <c r="AM16" s="1450"/>
      <c r="AN16" s="1450"/>
      <c r="AO16" s="1450"/>
      <c r="AP16" s="1450"/>
      <c r="AQ16" s="1450"/>
      <c r="AR16" s="1450"/>
      <c r="AS16" s="1450"/>
      <c r="AT16" s="1450"/>
      <c r="AU16" s="1450"/>
      <c r="AV16" s="1450"/>
      <c r="AW16" s="1450"/>
      <c r="AX16" s="1450"/>
      <c r="AY16" s="1450"/>
      <c r="AZ16" s="1450"/>
      <c r="BA16" s="1450"/>
      <c r="BB16" s="1450"/>
      <c r="BC16" s="1450"/>
      <c r="BD16" s="1450"/>
      <c r="BE16" s="1456"/>
    </row>
    <row r="17" spans="1:58" ht="15">
      <c r="A17" s="1679"/>
      <c r="B17" s="2650" t="s">
        <v>2066</v>
      </c>
      <c r="C17" s="2651"/>
      <c r="D17" s="2651"/>
      <c r="E17" s="2651"/>
      <c r="F17" s="2651"/>
      <c r="G17" s="2651"/>
      <c r="H17" s="2651"/>
      <c r="I17" s="2651"/>
      <c r="J17" s="2651"/>
      <c r="K17" s="2651"/>
      <c r="L17" s="2651"/>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c r="AS17" s="2651"/>
      <c r="AT17" s="2651"/>
      <c r="AU17" s="2651"/>
      <c r="AV17" s="2651"/>
      <c r="AW17" s="2651"/>
      <c r="AX17" s="2651"/>
      <c r="AY17" s="2712"/>
      <c r="AZ17" s="1450"/>
      <c r="BA17" s="1450"/>
      <c r="BB17" s="1450"/>
      <c r="BC17" s="1450"/>
      <c r="BD17" s="1450"/>
      <c r="BE17" s="1456"/>
      <c r="BF17" s="1448"/>
    </row>
    <row r="18" spans="1:58" ht="15.75" customHeight="1">
      <c r="A18" s="1679"/>
      <c r="B18" s="2842" t="s">
        <v>2067</v>
      </c>
      <c r="C18" s="2843"/>
      <c r="D18" s="2843"/>
      <c r="E18" s="2843"/>
      <c r="F18" s="2843"/>
      <c r="G18" s="2843"/>
      <c r="H18" s="2843"/>
      <c r="I18" s="2844"/>
      <c r="J18" s="2828" t="s">
        <v>1897</v>
      </c>
      <c r="K18" s="2829"/>
      <c r="L18" s="2829"/>
      <c r="M18" s="2829"/>
      <c r="N18" s="2829"/>
      <c r="O18" s="2830"/>
      <c r="P18" s="2828" t="s">
        <v>335</v>
      </c>
      <c r="Q18" s="2829"/>
      <c r="R18" s="2829"/>
      <c r="S18" s="2829"/>
      <c r="T18" s="2829"/>
      <c r="U18" s="2830"/>
      <c r="V18" s="2828" t="s">
        <v>336</v>
      </c>
      <c r="W18" s="2829"/>
      <c r="X18" s="2829"/>
      <c r="Y18" s="2829"/>
      <c r="Z18" s="2829"/>
      <c r="AA18" s="2830"/>
      <c r="AB18" s="2828" t="s">
        <v>168</v>
      </c>
      <c r="AC18" s="2829"/>
      <c r="AD18" s="2829"/>
      <c r="AE18" s="2829"/>
      <c r="AF18" s="2829"/>
      <c r="AG18" s="2830"/>
      <c r="AH18" s="2828" t="s">
        <v>169</v>
      </c>
      <c r="AI18" s="2829"/>
      <c r="AJ18" s="2829"/>
      <c r="AK18" s="2829"/>
      <c r="AL18" s="2829"/>
      <c r="AM18" s="2830"/>
      <c r="AN18" s="2828" t="s">
        <v>170</v>
      </c>
      <c r="AO18" s="2829"/>
      <c r="AP18" s="2829"/>
      <c r="AQ18" s="2829"/>
      <c r="AR18" s="2829"/>
      <c r="AS18" s="2830"/>
      <c r="AT18" s="2828" t="s">
        <v>2068</v>
      </c>
      <c r="AU18" s="2829"/>
      <c r="AV18" s="2829"/>
      <c r="AW18" s="2829"/>
      <c r="AX18" s="2829"/>
      <c r="AY18" s="2845"/>
      <c r="AZ18" s="1450"/>
      <c r="BA18" s="1450"/>
      <c r="BB18" s="1450"/>
      <c r="BC18" s="1450"/>
      <c r="BD18" s="1450"/>
      <c r="BE18" s="1456"/>
    </row>
    <row r="19" spans="1:58" ht="15">
      <c r="A19" s="1679"/>
      <c r="B19" s="2840">
        <v>0.2</v>
      </c>
      <c r="C19" s="2841"/>
      <c r="D19" s="2841"/>
      <c r="E19" s="2841"/>
      <c r="F19" s="2841"/>
      <c r="G19" s="2841"/>
      <c r="H19" s="2841"/>
      <c r="I19" s="2841"/>
      <c r="J19" s="2828">
        <f>SUM(P19:AS19)</f>
        <v>0</v>
      </c>
      <c r="K19" s="2829"/>
      <c r="L19" s="2829"/>
      <c r="M19" s="2829"/>
      <c r="N19" s="2829"/>
      <c r="O19" s="2830"/>
      <c r="P19" s="2834" cm="1">
        <f t="array" ref="P19">SUMPRODUCT((Application!$B$728:$B$752 = 'CalHFA Addendum'!P$18)*(Application!$AH$728:$AH$752 = 'CalHFA Addendum'!$B19),Application!$G$728:$G$752)</f>
        <v>0</v>
      </c>
      <c r="Q19" s="2835"/>
      <c r="R19" s="2835"/>
      <c r="S19" s="2835"/>
      <c r="T19" s="2835"/>
      <c r="U19" s="2836"/>
      <c r="V19" s="2834" cm="1">
        <f t="array" ref="V19">SUMPRODUCT((Application!$B$728:$B$752 = 'CalHFA Addendum'!V$18)*(Application!$AH$728:$AH$752 = 'CalHFA Addendum'!$B19),Application!$G$728:$G$752)</f>
        <v>0</v>
      </c>
      <c r="W19" s="2835"/>
      <c r="X19" s="2835"/>
      <c r="Y19" s="2835"/>
      <c r="Z19" s="2835"/>
      <c r="AA19" s="2836"/>
      <c r="AB19" s="2834" cm="1">
        <f t="array" ref="AB19">SUMPRODUCT((Application!$B$728:$B$752 = 'CalHFA Addendum'!AB$18)*(Application!$AH$728:$AH$752 = 'CalHFA Addendum'!$B19),Application!$G$728:$G$752)</f>
        <v>0</v>
      </c>
      <c r="AC19" s="2835"/>
      <c r="AD19" s="2835"/>
      <c r="AE19" s="2835"/>
      <c r="AF19" s="2835"/>
      <c r="AG19" s="2836"/>
      <c r="AH19" s="2834" cm="1">
        <f t="array" ref="AH19">SUMPRODUCT((Application!$B$728:$B$752 = 'CalHFA Addendum'!AH$18)*(Application!$AH$728:$AH$752 = 'CalHFA Addendum'!$B19),Application!$G$728:$G$752)</f>
        <v>0</v>
      </c>
      <c r="AI19" s="2835"/>
      <c r="AJ19" s="2835"/>
      <c r="AK19" s="2835"/>
      <c r="AL19" s="2835"/>
      <c r="AM19" s="2836"/>
      <c r="AN19" s="2834" cm="1">
        <f t="array" ref="AN19">SUMPRODUCT((Application!$B$728:$B$752 = 'CalHFA Addendum'!AN$18)*(Application!$AH$728:$AH$752 = 'CalHFA Addendum'!$B19),Application!$G$728:$G$752)</f>
        <v>0</v>
      </c>
      <c r="AO19" s="2835"/>
      <c r="AP19" s="2835"/>
      <c r="AQ19" s="2835"/>
      <c r="AR19" s="2835"/>
      <c r="AS19" s="2836"/>
      <c r="AT19" s="2837">
        <f t="shared" ref="AT19:AT27" si="0">J19/$J$29</f>
        <v>0</v>
      </c>
      <c r="AU19" s="2838"/>
      <c r="AV19" s="2838"/>
      <c r="AW19" s="2838"/>
      <c r="AX19" s="2838"/>
      <c r="AY19" s="2839"/>
      <c r="AZ19" s="1457"/>
      <c r="BA19" s="1450"/>
      <c r="BB19" s="1450"/>
      <c r="BC19" s="1450"/>
      <c r="BD19" s="1450"/>
      <c r="BE19" s="1456"/>
    </row>
    <row r="20" spans="1:58" ht="15" customHeight="1">
      <c r="A20" s="1679"/>
      <c r="B20" s="2840">
        <v>0.3</v>
      </c>
      <c r="C20" s="2841"/>
      <c r="D20" s="2841"/>
      <c r="E20" s="2841"/>
      <c r="F20" s="2841"/>
      <c r="G20" s="2841"/>
      <c r="H20" s="2841"/>
      <c r="I20" s="2841"/>
      <c r="J20" s="2828">
        <f t="shared" ref="J20:J27" si="1">SUM(P20:AS20)</f>
        <v>7</v>
      </c>
      <c r="K20" s="2829"/>
      <c r="L20" s="2829"/>
      <c r="M20" s="2829"/>
      <c r="N20" s="2829"/>
      <c r="O20" s="2830"/>
      <c r="P20" s="2834" cm="1">
        <f t="array" ref="P20">SUMPRODUCT((Application!$B$728:$B$752 = 'CalHFA Addendum'!P$18)*(Application!$AH$728:$AH$752 = 'CalHFA Addendum'!$B20),Application!$G$728:$G$752)</f>
        <v>0</v>
      </c>
      <c r="Q20" s="2835"/>
      <c r="R20" s="2835"/>
      <c r="S20" s="2835"/>
      <c r="T20" s="2835"/>
      <c r="U20" s="2836"/>
      <c r="V20" s="2834" cm="1">
        <f t="array" ref="V20">SUMPRODUCT((Application!$B$728:$B$752 = 'CalHFA Addendum'!V$18)*(Application!$AH$728:$AH$752 = 'CalHFA Addendum'!$B20),Application!$G$728:$G$752)</f>
        <v>1</v>
      </c>
      <c r="W20" s="2835"/>
      <c r="X20" s="2835"/>
      <c r="Y20" s="2835"/>
      <c r="Z20" s="2835"/>
      <c r="AA20" s="2836"/>
      <c r="AB20" s="2834" cm="1">
        <f t="array" ref="AB20">SUMPRODUCT((Application!$B$728:$B$752 = 'CalHFA Addendum'!AB$18)*(Application!$AH$728:$AH$752 = 'CalHFA Addendum'!$B20),Application!$G$728:$G$752)</f>
        <v>3</v>
      </c>
      <c r="AC20" s="2835"/>
      <c r="AD20" s="2835"/>
      <c r="AE20" s="2835"/>
      <c r="AF20" s="2835"/>
      <c r="AG20" s="2836"/>
      <c r="AH20" s="2834" cm="1">
        <f t="array" ref="AH20">SUMPRODUCT((Application!$B$728:$B$752 = 'CalHFA Addendum'!AH$18)*(Application!$AH$728:$AH$752 = 'CalHFA Addendum'!$B20),Application!$G$728:$G$752)</f>
        <v>3</v>
      </c>
      <c r="AI20" s="2835"/>
      <c r="AJ20" s="2835"/>
      <c r="AK20" s="2835"/>
      <c r="AL20" s="2835"/>
      <c r="AM20" s="2836"/>
      <c r="AN20" s="2834" cm="1">
        <f t="array" ref="AN20">SUMPRODUCT((Application!$B$728:$B$752 = 'CalHFA Addendum'!AN$18)*(Application!$AH$728:$AH$752 = 'CalHFA Addendum'!$B20),Application!$G$728:$G$752)</f>
        <v>0</v>
      </c>
      <c r="AO20" s="2835"/>
      <c r="AP20" s="2835"/>
      <c r="AQ20" s="2835"/>
      <c r="AR20" s="2835"/>
      <c r="AS20" s="2836"/>
      <c r="AT20" s="2837">
        <f t="shared" si="0"/>
        <v>0.10606060606060606</v>
      </c>
      <c r="AU20" s="2838"/>
      <c r="AV20" s="2838"/>
      <c r="AW20" s="2838"/>
      <c r="AX20" s="2838"/>
      <c r="AY20" s="2839"/>
      <c r="AZ20" s="1450"/>
      <c r="BA20" s="1450"/>
      <c r="BB20" s="1450"/>
      <c r="BC20" s="1450"/>
      <c r="BD20" s="1450"/>
      <c r="BE20" s="1456"/>
    </row>
    <row r="21" spans="1:58" ht="15">
      <c r="A21" s="1679"/>
      <c r="B21" s="2840">
        <v>0.4</v>
      </c>
      <c r="C21" s="2841"/>
      <c r="D21" s="2841"/>
      <c r="E21" s="2841"/>
      <c r="F21" s="2841"/>
      <c r="G21" s="2841"/>
      <c r="H21" s="2841"/>
      <c r="I21" s="2841"/>
      <c r="J21" s="2828">
        <f t="shared" si="1"/>
        <v>0</v>
      </c>
      <c r="K21" s="2829"/>
      <c r="L21" s="2829"/>
      <c r="M21" s="2829"/>
      <c r="N21" s="2829"/>
      <c r="O21" s="2830"/>
      <c r="P21" s="2834" cm="1">
        <f t="array" ref="P21">SUMPRODUCT((Application!$B$728:$B$752 = 'CalHFA Addendum'!P$18)*(Application!$AH$728:$AH$752 = 'CalHFA Addendum'!$B21),Application!$G$728:$G$752)</f>
        <v>0</v>
      </c>
      <c r="Q21" s="2835"/>
      <c r="R21" s="2835"/>
      <c r="S21" s="2835"/>
      <c r="T21" s="2835"/>
      <c r="U21" s="2836"/>
      <c r="V21" s="2834" cm="1">
        <f t="array" ref="V21">SUMPRODUCT((Application!$B$728:$B$752 = 'CalHFA Addendum'!V$18)*(Application!$AH$728:$AH$752 = 'CalHFA Addendum'!$B21),Application!$G$728:$G$752)</f>
        <v>0</v>
      </c>
      <c r="W21" s="2835"/>
      <c r="X21" s="2835"/>
      <c r="Y21" s="2835"/>
      <c r="Z21" s="2835"/>
      <c r="AA21" s="2836"/>
      <c r="AB21" s="2834" cm="1">
        <f t="array" ref="AB21">SUMPRODUCT((Application!$B$728:$B$752 = 'CalHFA Addendum'!AB$18)*(Application!$AH$728:$AH$752 = 'CalHFA Addendum'!$B21),Application!$G$728:$G$752)</f>
        <v>0</v>
      </c>
      <c r="AC21" s="2835"/>
      <c r="AD21" s="2835"/>
      <c r="AE21" s="2835"/>
      <c r="AF21" s="2835"/>
      <c r="AG21" s="2836"/>
      <c r="AH21" s="2834" cm="1">
        <f t="array" ref="AH21">SUMPRODUCT((Application!$B$728:$B$752 = 'CalHFA Addendum'!AH$18)*(Application!$AH$728:$AH$752 = 'CalHFA Addendum'!$B21),Application!$G$728:$G$752)</f>
        <v>0</v>
      </c>
      <c r="AI21" s="2835"/>
      <c r="AJ21" s="2835"/>
      <c r="AK21" s="2835"/>
      <c r="AL21" s="2835"/>
      <c r="AM21" s="2836"/>
      <c r="AN21" s="2834" cm="1">
        <f t="array" ref="AN21">SUMPRODUCT((Application!$B$728:$B$752 = 'CalHFA Addendum'!AN$18)*(Application!$AH$728:$AH$752 = 'CalHFA Addendum'!$B21),Application!$G$728:$G$752)</f>
        <v>0</v>
      </c>
      <c r="AO21" s="2835"/>
      <c r="AP21" s="2835"/>
      <c r="AQ21" s="2835"/>
      <c r="AR21" s="2835"/>
      <c r="AS21" s="2836"/>
      <c r="AT21" s="2837">
        <f t="shared" si="0"/>
        <v>0</v>
      </c>
      <c r="AU21" s="2838"/>
      <c r="AV21" s="2838"/>
      <c r="AW21" s="2838"/>
      <c r="AX21" s="2838"/>
      <c r="AY21" s="2839"/>
      <c r="AZ21" s="1450"/>
      <c r="BA21" s="1450"/>
      <c r="BB21" s="1450"/>
      <c r="BC21" s="1450"/>
      <c r="BD21" s="1450"/>
      <c r="BE21" s="1456"/>
    </row>
    <row r="22" spans="1:58" ht="15">
      <c r="A22" s="1679"/>
      <c r="B22" s="2840">
        <v>0.5</v>
      </c>
      <c r="C22" s="2841"/>
      <c r="D22" s="2841"/>
      <c r="E22" s="2841"/>
      <c r="F22" s="2841"/>
      <c r="G22" s="2841"/>
      <c r="H22" s="2841"/>
      <c r="I22" s="2841"/>
      <c r="J22" s="2828">
        <f t="shared" si="1"/>
        <v>24</v>
      </c>
      <c r="K22" s="2829"/>
      <c r="L22" s="2829"/>
      <c r="M22" s="2829"/>
      <c r="N22" s="2829"/>
      <c r="O22" s="2830"/>
      <c r="P22" s="2834" cm="1">
        <f t="array" ref="P22">SUMPRODUCT((Application!$B$728:$B$752 = 'CalHFA Addendum'!P$18)*(Application!$AH$728:$AH$752 = 'CalHFA Addendum'!$B22),Application!$G$728:$G$752)</f>
        <v>0</v>
      </c>
      <c r="Q22" s="2835"/>
      <c r="R22" s="2835"/>
      <c r="S22" s="2835"/>
      <c r="T22" s="2835"/>
      <c r="U22" s="2836"/>
      <c r="V22" s="2834" cm="1">
        <f t="array" ref="V22">SUMPRODUCT((Application!$B$728:$B$752 = 'CalHFA Addendum'!V$18)*(Application!$AH$728:$AH$752 = 'CalHFA Addendum'!$B22),Application!$G$728:$G$752)</f>
        <v>2</v>
      </c>
      <c r="W22" s="2835"/>
      <c r="X22" s="2835"/>
      <c r="Y22" s="2835"/>
      <c r="Z22" s="2835"/>
      <c r="AA22" s="2836"/>
      <c r="AB22" s="2834" cm="1">
        <f t="array" ref="AB22">SUMPRODUCT((Application!$B$728:$B$752 = 'CalHFA Addendum'!AB$18)*(Application!$AH$728:$AH$752 = 'CalHFA Addendum'!$B22),Application!$G$728:$G$752)</f>
        <v>12</v>
      </c>
      <c r="AC22" s="2835"/>
      <c r="AD22" s="2835"/>
      <c r="AE22" s="2835"/>
      <c r="AF22" s="2835"/>
      <c r="AG22" s="2836"/>
      <c r="AH22" s="2834" cm="1">
        <f t="array" ref="AH22">SUMPRODUCT((Application!$B$728:$B$752 = 'CalHFA Addendum'!AH$18)*(Application!$AH$728:$AH$752 = 'CalHFA Addendum'!$B22),Application!$G$728:$G$752)</f>
        <v>10</v>
      </c>
      <c r="AI22" s="2835"/>
      <c r="AJ22" s="2835"/>
      <c r="AK22" s="2835"/>
      <c r="AL22" s="2835"/>
      <c r="AM22" s="2836"/>
      <c r="AN22" s="2834" cm="1">
        <f t="array" ref="AN22">SUMPRODUCT((Application!$B$728:$B$752 = 'CalHFA Addendum'!AN$18)*(Application!$AH$728:$AH$752 = 'CalHFA Addendum'!$B22),Application!$G$728:$G$752)</f>
        <v>0</v>
      </c>
      <c r="AO22" s="2835"/>
      <c r="AP22" s="2835"/>
      <c r="AQ22" s="2835"/>
      <c r="AR22" s="2835"/>
      <c r="AS22" s="2836"/>
      <c r="AT22" s="2837">
        <f t="shared" si="0"/>
        <v>0.36363636363636365</v>
      </c>
      <c r="AU22" s="2838"/>
      <c r="AV22" s="2838"/>
      <c r="AW22" s="2838"/>
      <c r="AX22" s="2838"/>
      <c r="AY22" s="2839"/>
      <c r="AZ22" s="1450"/>
      <c r="BA22" s="1450"/>
      <c r="BB22" s="1450"/>
      <c r="BC22" s="1450"/>
      <c r="BD22" s="1450"/>
      <c r="BE22" s="1456"/>
    </row>
    <row r="23" spans="1:58" ht="15">
      <c r="A23" s="1679"/>
      <c r="B23" s="2840">
        <v>0.6</v>
      </c>
      <c r="C23" s="2841"/>
      <c r="D23" s="2841"/>
      <c r="E23" s="2841"/>
      <c r="F23" s="2841"/>
      <c r="G23" s="2841"/>
      <c r="H23" s="2841"/>
      <c r="I23" s="2841"/>
      <c r="J23" s="2828">
        <f t="shared" si="1"/>
        <v>18</v>
      </c>
      <c r="K23" s="2829"/>
      <c r="L23" s="2829"/>
      <c r="M23" s="2829"/>
      <c r="N23" s="2829"/>
      <c r="O23" s="2830"/>
      <c r="P23" s="2834" cm="1">
        <f t="array" ref="P23">SUMPRODUCT((Application!$B$728:$B$752 = 'CalHFA Addendum'!P$18)*(Application!$AH$728:$AH$752 = 'CalHFA Addendum'!$B23),Application!$G$728:$G$752)</f>
        <v>0</v>
      </c>
      <c r="Q23" s="2835"/>
      <c r="R23" s="2835"/>
      <c r="S23" s="2835"/>
      <c r="T23" s="2835"/>
      <c r="U23" s="2836"/>
      <c r="V23" s="2834" cm="1">
        <f t="array" ref="V23">SUMPRODUCT((Application!$B$728:$B$752 = 'CalHFA Addendum'!V$18)*(Application!$AH$728:$AH$752 = 'CalHFA Addendum'!$B23),Application!$G$728:$G$752)</f>
        <v>1</v>
      </c>
      <c r="W23" s="2835"/>
      <c r="X23" s="2835"/>
      <c r="Y23" s="2835"/>
      <c r="Z23" s="2835"/>
      <c r="AA23" s="2836"/>
      <c r="AB23" s="2834" cm="1">
        <f t="array" ref="AB23">SUMPRODUCT((Application!$B$728:$B$752 = 'CalHFA Addendum'!AB$18)*(Application!$AH$728:$AH$752 = 'CalHFA Addendum'!$B23),Application!$G$728:$G$752)</f>
        <v>8</v>
      </c>
      <c r="AC23" s="2835"/>
      <c r="AD23" s="2835"/>
      <c r="AE23" s="2835"/>
      <c r="AF23" s="2835"/>
      <c r="AG23" s="2836"/>
      <c r="AH23" s="2834" cm="1">
        <f t="array" ref="AH23">SUMPRODUCT((Application!$B$728:$B$752 = 'CalHFA Addendum'!AH$18)*(Application!$AH$728:$AH$752 = 'CalHFA Addendum'!$B23),Application!$G$728:$G$752)</f>
        <v>9</v>
      </c>
      <c r="AI23" s="2835"/>
      <c r="AJ23" s="2835"/>
      <c r="AK23" s="2835"/>
      <c r="AL23" s="2835"/>
      <c r="AM23" s="2836"/>
      <c r="AN23" s="2834" cm="1">
        <f t="array" ref="AN23">SUMPRODUCT((Application!$B$728:$B$752 = 'CalHFA Addendum'!AN$18)*(Application!$AH$728:$AH$752 = 'CalHFA Addendum'!$B23),Application!$G$728:$G$752)</f>
        <v>0</v>
      </c>
      <c r="AO23" s="2835"/>
      <c r="AP23" s="2835"/>
      <c r="AQ23" s="2835"/>
      <c r="AR23" s="2835"/>
      <c r="AS23" s="2836"/>
      <c r="AT23" s="2837">
        <f t="shared" si="0"/>
        <v>0.27272727272727271</v>
      </c>
      <c r="AU23" s="2838"/>
      <c r="AV23" s="2838"/>
      <c r="AW23" s="2838"/>
      <c r="AX23" s="2838"/>
      <c r="AY23" s="2839"/>
      <c r="AZ23" s="1450"/>
      <c r="BA23" s="1450"/>
      <c r="BB23" s="1450"/>
      <c r="BC23" s="1450"/>
      <c r="BD23" s="1450"/>
      <c r="BE23" s="1456"/>
    </row>
    <row r="24" spans="1:58" ht="15">
      <c r="A24" s="1679"/>
      <c r="B24" s="2840">
        <v>0.7</v>
      </c>
      <c r="C24" s="2841"/>
      <c r="D24" s="2841"/>
      <c r="E24" s="2841"/>
      <c r="F24" s="2841"/>
      <c r="G24" s="2841"/>
      <c r="H24" s="2841"/>
      <c r="I24" s="2841"/>
      <c r="J24" s="2828">
        <f t="shared" si="1"/>
        <v>0</v>
      </c>
      <c r="K24" s="2829"/>
      <c r="L24" s="2829"/>
      <c r="M24" s="2829"/>
      <c r="N24" s="2829"/>
      <c r="O24" s="2830"/>
      <c r="P24" s="2834" cm="1">
        <f t="array" ref="P24">SUMPRODUCT((Application!$B$728:$B$752 = 'CalHFA Addendum'!P$18)*(Application!$AH$728:$AH$752 = 'CalHFA Addendum'!$B24),Application!$G$728:$G$752)</f>
        <v>0</v>
      </c>
      <c r="Q24" s="2835"/>
      <c r="R24" s="2835"/>
      <c r="S24" s="2835"/>
      <c r="T24" s="2835"/>
      <c r="U24" s="2836"/>
      <c r="V24" s="2834" cm="1">
        <f t="array" ref="V24">SUMPRODUCT((Application!$B$728:$B$752 = 'CalHFA Addendum'!V$18)*(Application!$AH$728:$AH$752 = 'CalHFA Addendum'!$B24),Application!$G$728:$G$752)</f>
        <v>0</v>
      </c>
      <c r="W24" s="2835"/>
      <c r="X24" s="2835"/>
      <c r="Y24" s="2835"/>
      <c r="Z24" s="2835"/>
      <c r="AA24" s="2836"/>
      <c r="AB24" s="2834" cm="1">
        <f t="array" ref="AB24">SUMPRODUCT((Application!$B$728:$B$752 = 'CalHFA Addendum'!AB$18)*(Application!$AH$728:$AH$752 = 'CalHFA Addendum'!$B24),Application!$G$728:$G$752)</f>
        <v>0</v>
      </c>
      <c r="AC24" s="2835"/>
      <c r="AD24" s="2835"/>
      <c r="AE24" s="2835"/>
      <c r="AF24" s="2835"/>
      <c r="AG24" s="2836"/>
      <c r="AH24" s="2834" cm="1">
        <f t="array" ref="AH24">SUMPRODUCT((Application!$B$728:$B$752 = 'CalHFA Addendum'!AH$18)*(Application!$AH$728:$AH$752 = 'CalHFA Addendum'!$B24),Application!$G$728:$G$752)</f>
        <v>0</v>
      </c>
      <c r="AI24" s="2835"/>
      <c r="AJ24" s="2835"/>
      <c r="AK24" s="2835"/>
      <c r="AL24" s="2835"/>
      <c r="AM24" s="2836"/>
      <c r="AN24" s="2834" cm="1">
        <f t="array" ref="AN24">SUMPRODUCT((Application!$B$728:$B$752 = 'CalHFA Addendum'!AN$18)*(Application!$AH$728:$AH$752 = 'CalHFA Addendum'!$B24),Application!$G$728:$G$752)</f>
        <v>0</v>
      </c>
      <c r="AO24" s="2835"/>
      <c r="AP24" s="2835"/>
      <c r="AQ24" s="2835"/>
      <c r="AR24" s="2835"/>
      <c r="AS24" s="2836"/>
      <c r="AT24" s="2837">
        <f t="shared" si="0"/>
        <v>0</v>
      </c>
      <c r="AU24" s="2838"/>
      <c r="AV24" s="2838"/>
      <c r="AW24" s="2838"/>
      <c r="AX24" s="2838"/>
      <c r="AY24" s="2839"/>
      <c r="AZ24" s="1450"/>
      <c r="BA24" s="1450"/>
      <c r="BB24" s="1450"/>
      <c r="BC24" s="1450"/>
      <c r="BD24" s="1450"/>
      <c r="BE24" s="1456"/>
    </row>
    <row r="25" spans="1:58" ht="15">
      <c r="A25" s="1679"/>
      <c r="B25" s="2840">
        <v>0.8</v>
      </c>
      <c r="C25" s="2841"/>
      <c r="D25" s="2841"/>
      <c r="E25" s="2841"/>
      <c r="F25" s="2841"/>
      <c r="G25" s="2841"/>
      <c r="H25" s="2841"/>
      <c r="I25" s="2841"/>
      <c r="J25" s="2828">
        <f t="shared" si="1"/>
        <v>16</v>
      </c>
      <c r="K25" s="2829"/>
      <c r="L25" s="2829"/>
      <c r="M25" s="2829"/>
      <c r="N25" s="2829"/>
      <c r="O25" s="2830"/>
      <c r="P25" s="2834" cm="1">
        <f t="array" ref="P25">SUMPRODUCT((Application!$B$728:$B$752 = 'CalHFA Addendum'!P$18)*(Application!$AH$728:$AH$752 = 'CalHFA Addendum'!$B25),Application!$G$728:$G$752)</f>
        <v>0</v>
      </c>
      <c r="Q25" s="2835"/>
      <c r="R25" s="2835"/>
      <c r="S25" s="2835"/>
      <c r="T25" s="2835"/>
      <c r="U25" s="2836"/>
      <c r="V25" s="2834" cm="1">
        <f t="array" ref="V25">SUMPRODUCT((Application!$B$728:$B$752 = 'CalHFA Addendum'!V$18)*(Application!$AH$728:$AH$752 = 'CalHFA Addendum'!$B25),Application!$G$728:$G$752)</f>
        <v>0</v>
      </c>
      <c r="W25" s="2835"/>
      <c r="X25" s="2835"/>
      <c r="Y25" s="2835"/>
      <c r="Z25" s="2835"/>
      <c r="AA25" s="2836"/>
      <c r="AB25" s="2834" cm="1">
        <f t="array" ref="AB25">SUMPRODUCT((Application!$B$728:$B$752 = 'CalHFA Addendum'!AB$18)*(Application!$AH$728:$AH$752 = 'CalHFA Addendum'!$B25),Application!$G$728:$G$752)</f>
        <v>7</v>
      </c>
      <c r="AC25" s="2835"/>
      <c r="AD25" s="2835"/>
      <c r="AE25" s="2835"/>
      <c r="AF25" s="2835"/>
      <c r="AG25" s="2836"/>
      <c r="AH25" s="2834" cm="1">
        <f t="array" ref="AH25">SUMPRODUCT((Application!$B$728:$B$752 = 'CalHFA Addendum'!AH$18)*(Application!$AH$728:$AH$752 = 'CalHFA Addendum'!$B25),Application!$G$728:$G$752)</f>
        <v>9</v>
      </c>
      <c r="AI25" s="2835"/>
      <c r="AJ25" s="2835"/>
      <c r="AK25" s="2835"/>
      <c r="AL25" s="2835"/>
      <c r="AM25" s="2836"/>
      <c r="AN25" s="2834" cm="1">
        <f t="array" ref="AN25">SUMPRODUCT((Application!$B$728:$B$752 = 'CalHFA Addendum'!AN$18)*(Application!$AH$728:$AH$752 = 'CalHFA Addendum'!$B25),Application!$G$728:$G$752)</f>
        <v>0</v>
      </c>
      <c r="AO25" s="2835"/>
      <c r="AP25" s="2835"/>
      <c r="AQ25" s="2835"/>
      <c r="AR25" s="2835"/>
      <c r="AS25" s="2836"/>
      <c r="AT25" s="2837">
        <f t="shared" si="0"/>
        <v>0.24242424242424243</v>
      </c>
      <c r="AU25" s="2838"/>
      <c r="AV25" s="2838"/>
      <c r="AW25" s="2838"/>
      <c r="AX25" s="2838"/>
      <c r="AY25" s="2839"/>
      <c r="AZ25" s="1450"/>
      <c r="BA25" s="1450"/>
      <c r="BB25" s="1450"/>
      <c r="BC25" s="1450"/>
      <c r="BD25" s="1450"/>
      <c r="BE25" s="1456"/>
    </row>
    <row r="26" spans="1:58" ht="15">
      <c r="A26" s="1679"/>
      <c r="B26" s="2840">
        <v>0.9</v>
      </c>
      <c r="C26" s="2841"/>
      <c r="D26" s="2841"/>
      <c r="E26" s="2841"/>
      <c r="F26" s="2841"/>
      <c r="G26" s="2841"/>
      <c r="H26" s="2841"/>
      <c r="I26" s="2841"/>
      <c r="J26" s="2828">
        <f t="shared" si="1"/>
        <v>0</v>
      </c>
      <c r="K26" s="2829"/>
      <c r="L26" s="2829"/>
      <c r="M26" s="2829"/>
      <c r="N26" s="2829"/>
      <c r="O26" s="2830"/>
      <c r="P26" s="2834" cm="1">
        <f t="array" ref="P26">SUMPRODUCT((Application!$B$728:$B$752 = 'CalHFA Addendum'!P$18)*(Application!$AH$728:$AH$752 = 'CalHFA Addendum'!$B26),Application!$G$728:$G$752)</f>
        <v>0</v>
      </c>
      <c r="Q26" s="2835"/>
      <c r="R26" s="2835"/>
      <c r="S26" s="2835"/>
      <c r="T26" s="2835"/>
      <c r="U26" s="2836"/>
      <c r="V26" s="2834" cm="1">
        <f t="array" ref="V26">SUMPRODUCT((Application!$B$728:$B$752 = 'CalHFA Addendum'!V$18)*(Application!$AH$728:$AH$752 = 'CalHFA Addendum'!$B26),Application!$G$728:$G$752)</f>
        <v>0</v>
      </c>
      <c r="W26" s="2835"/>
      <c r="X26" s="2835"/>
      <c r="Y26" s="2835"/>
      <c r="Z26" s="2835"/>
      <c r="AA26" s="2836"/>
      <c r="AB26" s="2834" cm="1">
        <f t="array" ref="AB26">SUMPRODUCT((Application!$B$728:$B$752 = 'CalHFA Addendum'!AB$18)*(Application!$AH$728:$AH$752 = 'CalHFA Addendum'!$B26),Application!$G$728:$G$752)</f>
        <v>0</v>
      </c>
      <c r="AC26" s="2835"/>
      <c r="AD26" s="2835"/>
      <c r="AE26" s="2835"/>
      <c r="AF26" s="2835"/>
      <c r="AG26" s="2836"/>
      <c r="AH26" s="2834" cm="1">
        <f t="array" ref="AH26">SUMPRODUCT((Application!$B$728:$B$752 = 'CalHFA Addendum'!AH$18)*(Application!$AH$728:$AH$752 = 'CalHFA Addendum'!$B26),Application!$G$728:$G$752)</f>
        <v>0</v>
      </c>
      <c r="AI26" s="2835"/>
      <c r="AJ26" s="2835"/>
      <c r="AK26" s="2835"/>
      <c r="AL26" s="2835"/>
      <c r="AM26" s="2836"/>
      <c r="AN26" s="2834" cm="1">
        <f t="array" ref="AN26">SUMPRODUCT((Application!$B$728:$B$752 = 'CalHFA Addendum'!AN$18)*(Application!$AH$728:$AH$752 = 'CalHFA Addendum'!$B26),Application!$G$728:$G$752)</f>
        <v>0</v>
      </c>
      <c r="AO26" s="2835"/>
      <c r="AP26" s="2835"/>
      <c r="AQ26" s="2835"/>
      <c r="AR26" s="2835"/>
      <c r="AS26" s="2836"/>
      <c r="AT26" s="2837">
        <f t="shared" si="0"/>
        <v>0</v>
      </c>
      <c r="AU26" s="2838"/>
      <c r="AV26" s="2838"/>
      <c r="AW26" s="2838"/>
      <c r="AX26" s="2838"/>
      <c r="AY26" s="2839"/>
      <c r="AZ26" s="1450"/>
      <c r="BA26" s="1450"/>
      <c r="BB26" s="1450"/>
      <c r="BC26" s="1450"/>
      <c r="BD26" s="1450"/>
      <c r="BE26" s="1456"/>
    </row>
    <row r="27" spans="1:58" ht="15">
      <c r="A27" s="1679"/>
      <c r="B27" s="2840">
        <v>1</v>
      </c>
      <c r="C27" s="2841"/>
      <c r="D27" s="2841"/>
      <c r="E27" s="2841"/>
      <c r="F27" s="2841"/>
      <c r="G27" s="2841"/>
      <c r="H27" s="2841"/>
      <c r="I27" s="2841"/>
      <c r="J27" s="2828">
        <f t="shared" si="1"/>
        <v>0</v>
      </c>
      <c r="K27" s="2829"/>
      <c r="L27" s="2829"/>
      <c r="M27" s="2829"/>
      <c r="N27" s="2829"/>
      <c r="O27" s="2830"/>
      <c r="P27" s="2834" cm="1">
        <f t="array" ref="P27">SUMPRODUCT((Application!$B$728:$B$752 = 'CalHFA Addendum'!P$18)*(Application!$AH$728:$AH$752 = 'CalHFA Addendum'!$B27),Application!$G$728:$G$752)</f>
        <v>0</v>
      </c>
      <c r="Q27" s="2835"/>
      <c r="R27" s="2835"/>
      <c r="S27" s="2835"/>
      <c r="T27" s="2835"/>
      <c r="U27" s="2836"/>
      <c r="V27" s="2834" cm="1">
        <f t="array" ref="V27">SUMPRODUCT((Application!$B$728:$B$752 = 'CalHFA Addendum'!V$18)*(Application!$AH$728:$AH$752 = 'CalHFA Addendum'!$B27),Application!$G$728:$G$752)</f>
        <v>0</v>
      </c>
      <c r="W27" s="2835"/>
      <c r="X27" s="2835"/>
      <c r="Y27" s="2835"/>
      <c r="Z27" s="2835"/>
      <c r="AA27" s="2836"/>
      <c r="AB27" s="2834" cm="1">
        <f t="array" ref="AB27">SUMPRODUCT((Application!$B$728:$B$752 = 'CalHFA Addendum'!AB$18)*(Application!$AH$728:$AH$752 = 'CalHFA Addendum'!$B27),Application!$G$728:$G$752)</f>
        <v>0</v>
      </c>
      <c r="AC27" s="2835"/>
      <c r="AD27" s="2835"/>
      <c r="AE27" s="2835"/>
      <c r="AF27" s="2835"/>
      <c r="AG27" s="2836"/>
      <c r="AH27" s="2834" cm="1">
        <f t="array" ref="AH27">SUMPRODUCT((Application!$B$728:$B$752 = 'CalHFA Addendum'!AH$18)*(Application!$AH$728:$AH$752 = 'CalHFA Addendum'!$B27),Application!$G$728:$G$752)</f>
        <v>0</v>
      </c>
      <c r="AI27" s="2835"/>
      <c r="AJ27" s="2835"/>
      <c r="AK27" s="2835"/>
      <c r="AL27" s="2835"/>
      <c r="AM27" s="2836"/>
      <c r="AN27" s="2834" cm="1">
        <f t="array" ref="AN27">SUMPRODUCT((Application!$B$728:$B$752 = 'CalHFA Addendum'!AN$18)*(Application!$AH$728:$AH$752 = 'CalHFA Addendum'!$B27),Application!$G$728:$G$752)</f>
        <v>0</v>
      </c>
      <c r="AO27" s="2835"/>
      <c r="AP27" s="2835"/>
      <c r="AQ27" s="2835"/>
      <c r="AR27" s="2835"/>
      <c r="AS27" s="2836"/>
      <c r="AT27" s="2837">
        <f t="shared" si="0"/>
        <v>0</v>
      </c>
      <c r="AU27" s="2838"/>
      <c r="AV27" s="2838"/>
      <c r="AW27" s="2838"/>
      <c r="AX27" s="2838"/>
      <c r="AY27" s="2839"/>
      <c r="AZ27" s="1450"/>
      <c r="BA27" s="1450"/>
      <c r="BB27" s="1450"/>
      <c r="BC27" s="1450"/>
      <c r="BD27" s="1450"/>
      <c r="BE27" s="1456"/>
      <c r="BF27" s="1624"/>
    </row>
    <row r="28" spans="1:58" thickBot="1">
      <c r="A28" s="1679"/>
      <c r="B28" s="2825" t="s">
        <v>2069</v>
      </c>
      <c r="C28" s="2826"/>
      <c r="D28" s="2826"/>
      <c r="E28" s="2826"/>
      <c r="F28" s="2826"/>
      <c r="G28" s="2826"/>
      <c r="H28" s="2826"/>
      <c r="I28" s="2827"/>
      <c r="J28" s="2828">
        <f t="shared" ref="J28" si="2">SUM(P28:AS28)</f>
        <v>1</v>
      </c>
      <c r="K28" s="2829"/>
      <c r="L28" s="2829"/>
      <c r="M28" s="2829"/>
      <c r="N28" s="2829"/>
      <c r="O28" s="2830"/>
      <c r="P28" s="2831">
        <f>_xlfn.IFNA(VLOOKUP(P$18,Application!$J$772:$S$775,6,FALSE), 0)</f>
        <v>0</v>
      </c>
      <c r="Q28" s="2832"/>
      <c r="R28" s="2832"/>
      <c r="S28" s="2832"/>
      <c r="T28" s="2832"/>
      <c r="U28" s="2833"/>
      <c r="V28" s="2831">
        <f>_xlfn.IFNA(VLOOKUP(V$18,Application!$J$772:$S$775,6,FALSE), 0)</f>
        <v>0</v>
      </c>
      <c r="W28" s="2832"/>
      <c r="X28" s="2832"/>
      <c r="Y28" s="2832"/>
      <c r="Z28" s="2832"/>
      <c r="AA28" s="2833"/>
      <c r="AB28" s="2831">
        <f>_xlfn.IFNA(VLOOKUP(AB$18,Application!$J$772:$S$775,6,FALSE), 0)</f>
        <v>0</v>
      </c>
      <c r="AC28" s="2832"/>
      <c r="AD28" s="2832"/>
      <c r="AE28" s="2832"/>
      <c r="AF28" s="2832"/>
      <c r="AG28" s="2833"/>
      <c r="AH28" s="2831">
        <f>_xlfn.IFNA(VLOOKUP(AH$18,Application!$J$772:$S$775,6,FALSE), 0)</f>
        <v>1</v>
      </c>
      <c r="AI28" s="2832"/>
      <c r="AJ28" s="2832"/>
      <c r="AK28" s="2832"/>
      <c r="AL28" s="2832"/>
      <c r="AM28" s="2833"/>
      <c r="AN28" s="2831">
        <f>_xlfn.IFNA(VLOOKUP(AN$18,Application!$J$772:$S$775,6,FALSE), 0)</f>
        <v>0</v>
      </c>
      <c r="AO28" s="2832"/>
      <c r="AP28" s="2832"/>
      <c r="AQ28" s="2832"/>
      <c r="AR28" s="2832"/>
      <c r="AS28" s="2833"/>
      <c r="AT28" s="2837">
        <f t="shared" ref="AT28" si="3">J28/$J$29</f>
        <v>1.5151515151515152E-2</v>
      </c>
      <c r="AU28" s="2838"/>
      <c r="AV28" s="2838"/>
      <c r="AW28" s="2838"/>
      <c r="AX28" s="2838"/>
      <c r="AY28" s="2839"/>
      <c r="AZ28" s="1450"/>
      <c r="BA28" s="1450"/>
      <c r="BB28" s="1450"/>
      <c r="BC28" s="1450"/>
      <c r="BD28" s="1450"/>
      <c r="BE28" s="1456"/>
    </row>
    <row r="29" spans="1:58" thickBot="1">
      <c r="A29" s="1679"/>
      <c r="B29" s="2818" t="s">
        <v>1897</v>
      </c>
      <c r="C29" s="2819"/>
      <c r="D29" s="2819"/>
      <c r="E29" s="2819"/>
      <c r="F29" s="2819"/>
      <c r="G29" s="2819"/>
      <c r="H29" s="2819"/>
      <c r="I29" s="2820"/>
      <c r="J29" s="2821">
        <f>SUM(J19:O28)</f>
        <v>66</v>
      </c>
      <c r="K29" s="2819"/>
      <c r="L29" s="2819"/>
      <c r="M29" s="2819"/>
      <c r="N29" s="2819"/>
      <c r="O29" s="2820"/>
      <c r="P29" s="2821">
        <f>SUM(P19:U28)</f>
        <v>0</v>
      </c>
      <c r="Q29" s="2819"/>
      <c r="R29" s="2819"/>
      <c r="S29" s="2819"/>
      <c r="T29" s="2819"/>
      <c r="U29" s="2820"/>
      <c r="V29" s="2821">
        <f>SUM(V19:AA28)</f>
        <v>4</v>
      </c>
      <c r="W29" s="2819"/>
      <c r="X29" s="2819"/>
      <c r="Y29" s="2819"/>
      <c r="Z29" s="2819"/>
      <c r="AA29" s="2820"/>
      <c r="AB29" s="2821">
        <f>SUM(AB19:AG28)</f>
        <v>30</v>
      </c>
      <c r="AC29" s="2819"/>
      <c r="AD29" s="2819"/>
      <c r="AE29" s="2819"/>
      <c r="AF29" s="2819"/>
      <c r="AG29" s="2820"/>
      <c r="AH29" s="2821">
        <f>SUM(AH19:AM28)</f>
        <v>32</v>
      </c>
      <c r="AI29" s="2819"/>
      <c r="AJ29" s="2819"/>
      <c r="AK29" s="2819"/>
      <c r="AL29" s="2819"/>
      <c r="AM29" s="2820"/>
      <c r="AN29" s="2821">
        <f>SUM(AN19:AS28)</f>
        <v>0</v>
      </c>
      <c r="AO29" s="2819"/>
      <c r="AP29" s="2819"/>
      <c r="AQ29" s="2819"/>
      <c r="AR29" s="2819"/>
      <c r="AS29" s="2820"/>
      <c r="AT29" s="2822">
        <f>J29/$J$29</f>
        <v>1</v>
      </c>
      <c r="AU29" s="2823"/>
      <c r="AV29" s="2823"/>
      <c r="AW29" s="2823"/>
      <c r="AX29" s="2823"/>
      <c r="AY29" s="2824"/>
      <c r="AZ29" s="1450"/>
      <c r="BA29" s="1450"/>
      <c r="BB29" s="1450"/>
      <c r="BC29" s="1450"/>
      <c r="BD29" s="1450"/>
      <c r="BE29" s="1456"/>
    </row>
    <row r="30" spans="1:58" thickBot="1">
      <c r="A30" s="1678"/>
      <c r="B30" s="1450"/>
      <c r="C30" s="1450"/>
      <c r="D30" s="1450"/>
      <c r="E30" s="1450"/>
      <c r="F30" s="1450"/>
      <c r="G30" s="1450"/>
      <c r="H30" s="1450"/>
      <c r="I30" s="1450"/>
      <c r="J30" s="1450"/>
      <c r="K30" s="1450"/>
      <c r="L30" s="1450"/>
      <c r="M30" s="1450"/>
      <c r="N30" s="1450"/>
      <c r="O30" s="1450"/>
      <c r="P30" s="1450"/>
      <c r="Q30" s="1450"/>
      <c r="R30" s="1450"/>
      <c r="S30" s="1450"/>
      <c r="T30" s="1450"/>
      <c r="U30" s="1450"/>
      <c r="V30" s="1450"/>
      <c r="W30" s="1450"/>
      <c r="X30" s="1450"/>
      <c r="Y30" s="1450"/>
      <c r="Z30" s="1450"/>
      <c r="AA30" s="1450"/>
      <c r="AB30" s="1450"/>
      <c r="AC30" s="1450"/>
      <c r="AD30" s="1450"/>
      <c r="AE30" s="1450"/>
      <c r="AF30" s="1450"/>
      <c r="AG30" s="1450"/>
      <c r="AH30" s="1450"/>
      <c r="AI30" s="1450"/>
      <c r="AJ30" s="1450"/>
      <c r="AK30" s="1450"/>
      <c r="AL30" s="1450"/>
      <c r="AM30" s="1450"/>
      <c r="AN30" s="1450"/>
      <c r="AO30" s="1450"/>
      <c r="AP30" s="1450"/>
      <c r="AQ30" s="1450"/>
      <c r="AR30" s="1450"/>
      <c r="AS30" s="1450"/>
      <c r="AT30" s="1450"/>
      <c r="AU30" s="1450"/>
      <c r="AV30" s="1450"/>
      <c r="AW30" s="1450"/>
      <c r="AX30" s="1450"/>
      <c r="AY30" s="1450"/>
      <c r="AZ30" s="1450"/>
      <c r="BA30" s="1450"/>
      <c r="BB30" s="1450"/>
      <c r="BC30" s="1450"/>
      <c r="BD30" s="1450"/>
      <c r="BE30" s="1456"/>
    </row>
    <row r="31" spans="1:58" thickBot="1">
      <c r="A31" s="1679"/>
      <c r="B31" s="2798" t="s">
        <v>2070</v>
      </c>
      <c r="C31" s="2799"/>
      <c r="D31" s="2799"/>
      <c r="E31" s="2799"/>
      <c r="F31" s="2799"/>
      <c r="G31" s="2799"/>
      <c r="H31" s="2799"/>
      <c r="I31" s="2799"/>
      <c r="J31" s="2799"/>
      <c r="K31" s="2799"/>
      <c r="L31" s="2799"/>
      <c r="M31" s="2799"/>
      <c r="N31" s="2799"/>
      <c r="O31" s="2799"/>
      <c r="P31" s="2799"/>
      <c r="Q31" s="2799"/>
      <c r="R31" s="2799"/>
      <c r="S31" s="2799"/>
      <c r="T31" s="2799"/>
      <c r="U31" s="2799"/>
      <c r="V31" s="2799"/>
      <c r="W31" s="2799"/>
      <c r="X31" s="2799"/>
      <c r="Y31" s="2799"/>
      <c r="Z31" s="2799"/>
      <c r="AA31" s="2799"/>
      <c r="AB31" s="2799"/>
      <c r="AC31" s="2799"/>
      <c r="AD31" s="2799"/>
      <c r="AE31" s="2799"/>
      <c r="AF31" s="2799"/>
      <c r="AG31" s="2799"/>
      <c r="AH31" s="2799"/>
      <c r="AI31" s="2799"/>
      <c r="AJ31" s="2799"/>
      <c r="AK31" s="2799"/>
      <c r="AL31" s="2799"/>
      <c r="AM31" s="2799"/>
      <c r="AN31" s="2799"/>
      <c r="AO31" s="2799"/>
      <c r="AP31" s="2799"/>
      <c r="AQ31" s="2799"/>
      <c r="AR31" s="2799"/>
      <c r="AS31" s="2799"/>
      <c r="AT31" s="2799"/>
      <c r="AU31" s="2799"/>
      <c r="AV31" s="2799"/>
      <c r="AW31" s="2799"/>
      <c r="AX31" s="2799"/>
      <c r="AY31" s="2799"/>
      <c r="AZ31" s="2800"/>
      <c r="BA31" s="1450"/>
      <c r="BB31" s="1450"/>
      <c r="BC31" s="1450"/>
      <c r="BD31" s="1450"/>
      <c r="BE31" s="1456"/>
    </row>
    <row r="32" spans="1:58" thickBot="1">
      <c r="A32" s="1679"/>
      <c r="B32" s="2801" t="s">
        <v>2071</v>
      </c>
      <c r="C32" s="2802"/>
      <c r="D32" s="2802"/>
      <c r="E32" s="2802"/>
      <c r="F32" s="2802"/>
      <c r="G32" s="2802"/>
      <c r="H32" s="2802"/>
      <c r="I32" s="2803"/>
      <c r="J32" s="2805" t="s">
        <v>2072</v>
      </c>
      <c r="K32" s="2806"/>
      <c r="L32" s="2806"/>
      <c r="M32" s="2807"/>
      <c r="N32" s="2805" t="s">
        <v>2073</v>
      </c>
      <c r="O32" s="2806"/>
      <c r="P32" s="2806"/>
      <c r="Q32" s="2806"/>
      <c r="R32" s="2809" t="s">
        <v>2074</v>
      </c>
      <c r="S32" s="2810"/>
      <c r="T32" s="2810"/>
      <c r="U32" s="2810"/>
      <c r="V32" s="2810"/>
      <c r="W32" s="2810"/>
      <c r="X32" s="2810"/>
      <c r="Y32" s="2810"/>
      <c r="Z32" s="2810"/>
      <c r="AA32" s="2810"/>
      <c r="AB32" s="2810"/>
      <c r="AC32" s="2810"/>
      <c r="AD32" s="2810"/>
      <c r="AE32" s="2810"/>
      <c r="AF32" s="2810"/>
      <c r="AG32" s="2810"/>
      <c r="AH32" s="2810"/>
      <c r="AI32" s="2810"/>
      <c r="AJ32" s="2810"/>
      <c r="AK32" s="2810"/>
      <c r="AL32" s="2810"/>
      <c r="AM32" s="2810"/>
      <c r="AN32" s="2810"/>
      <c r="AO32" s="2810"/>
      <c r="AP32" s="2810"/>
      <c r="AQ32" s="2810"/>
      <c r="AR32" s="2810"/>
      <c r="AS32" s="2810"/>
      <c r="AT32" s="2810"/>
      <c r="AU32" s="2810"/>
      <c r="AV32" s="2810"/>
      <c r="AW32" s="2810"/>
      <c r="AX32" s="2810"/>
      <c r="AY32" s="2810"/>
      <c r="AZ32" s="2811"/>
      <c r="BA32" s="1450"/>
      <c r="BB32" s="1450"/>
      <c r="BC32" s="1450"/>
      <c r="BD32" s="1450"/>
      <c r="BE32" s="1456"/>
    </row>
    <row r="33" spans="1:58" ht="15" customHeight="1">
      <c r="A33" s="1679"/>
      <c r="B33" s="2804"/>
      <c r="C33" s="2802"/>
      <c r="D33" s="2802"/>
      <c r="E33" s="2802"/>
      <c r="F33" s="2802"/>
      <c r="G33" s="2802"/>
      <c r="H33" s="2802"/>
      <c r="I33" s="2803"/>
      <c r="J33" s="2808"/>
      <c r="K33" s="2806"/>
      <c r="L33" s="2806"/>
      <c r="M33" s="2807"/>
      <c r="N33" s="2808"/>
      <c r="O33" s="2806"/>
      <c r="P33" s="2806"/>
      <c r="Q33" s="2806"/>
      <c r="R33" s="2812" t="s">
        <v>2075</v>
      </c>
      <c r="S33" s="2813"/>
      <c r="T33" s="2813"/>
      <c r="U33" s="2813"/>
      <c r="V33" s="2813"/>
      <c r="W33" s="2813"/>
      <c r="X33" s="2813"/>
      <c r="Y33" s="2813"/>
      <c r="Z33" s="2813"/>
      <c r="AA33" s="2813"/>
      <c r="AB33" s="2813"/>
      <c r="AC33" s="2813"/>
      <c r="AD33" s="2813"/>
      <c r="AE33" s="2813"/>
      <c r="AF33" s="2813"/>
      <c r="AG33" s="2813"/>
      <c r="AH33" s="2813"/>
      <c r="AI33" s="2813"/>
      <c r="AJ33" s="2813"/>
      <c r="AK33" s="2813"/>
      <c r="AL33" s="2813"/>
      <c r="AM33" s="2813"/>
      <c r="AN33" s="2813"/>
      <c r="AO33" s="2813"/>
      <c r="AP33" s="2813"/>
      <c r="AQ33" s="2813"/>
      <c r="AR33" s="2813"/>
      <c r="AS33" s="2813"/>
      <c r="AT33" s="2813"/>
      <c r="AU33" s="2813"/>
      <c r="AV33" s="2813"/>
      <c r="AW33" s="2813"/>
      <c r="AX33" s="2813"/>
      <c r="AY33" s="2813"/>
      <c r="AZ33" s="2814"/>
      <c r="BA33" s="1457"/>
      <c r="BB33" s="1450"/>
      <c r="BC33" s="1450"/>
      <c r="BD33" s="1450"/>
      <c r="BE33" s="1456"/>
    </row>
    <row r="34" spans="1:58" ht="15.75" customHeight="1" thickBot="1">
      <c r="A34" s="1679"/>
      <c r="B34" s="2804"/>
      <c r="C34" s="2802"/>
      <c r="D34" s="2802"/>
      <c r="E34" s="2802"/>
      <c r="F34" s="2802"/>
      <c r="G34" s="2802"/>
      <c r="H34" s="2802"/>
      <c r="I34" s="2803"/>
      <c r="J34" s="2808"/>
      <c r="K34" s="2806"/>
      <c r="L34" s="2806"/>
      <c r="M34" s="2807"/>
      <c r="N34" s="2808"/>
      <c r="O34" s="2806"/>
      <c r="P34" s="2806"/>
      <c r="Q34" s="2806"/>
      <c r="R34" s="2815"/>
      <c r="S34" s="2816"/>
      <c r="T34" s="2816"/>
      <c r="U34" s="2816"/>
      <c r="V34" s="2816"/>
      <c r="W34" s="2816"/>
      <c r="X34" s="2816"/>
      <c r="Y34" s="2816"/>
      <c r="Z34" s="2816"/>
      <c r="AA34" s="2816"/>
      <c r="AB34" s="2816"/>
      <c r="AC34" s="2816"/>
      <c r="AD34" s="2816"/>
      <c r="AE34" s="2816"/>
      <c r="AF34" s="2816"/>
      <c r="AG34" s="2816"/>
      <c r="AH34" s="2816"/>
      <c r="AI34" s="2816"/>
      <c r="AJ34" s="2816"/>
      <c r="AK34" s="2816"/>
      <c r="AL34" s="2816"/>
      <c r="AM34" s="2816"/>
      <c r="AN34" s="2816"/>
      <c r="AO34" s="2816"/>
      <c r="AP34" s="2816"/>
      <c r="AQ34" s="2816"/>
      <c r="AR34" s="2816"/>
      <c r="AS34" s="2816"/>
      <c r="AT34" s="2816"/>
      <c r="AU34" s="2816"/>
      <c r="AV34" s="2816"/>
      <c r="AW34" s="2816"/>
      <c r="AX34" s="2816"/>
      <c r="AY34" s="2816"/>
      <c r="AZ34" s="2817"/>
      <c r="BA34" s="1457"/>
      <c r="BB34" s="1450"/>
      <c r="BC34" s="1450"/>
      <c r="BD34" s="1450"/>
      <c r="BE34" s="1456"/>
    </row>
    <row r="35" spans="1:58" ht="15.75" customHeight="1" thickBot="1">
      <c r="A35" s="1679"/>
      <c r="B35" s="2804"/>
      <c r="C35" s="2802"/>
      <c r="D35" s="2802"/>
      <c r="E35" s="2802"/>
      <c r="F35" s="2802"/>
      <c r="G35" s="2802"/>
      <c r="H35" s="2802"/>
      <c r="I35" s="2803"/>
      <c r="J35" s="2808"/>
      <c r="K35" s="2806"/>
      <c r="L35" s="2806"/>
      <c r="M35" s="2807"/>
      <c r="N35" s="2808"/>
      <c r="O35" s="2806"/>
      <c r="P35" s="2806"/>
      <c r="Q35" s="2806"/>
      <c r="R35" s="2781">
        <v>0.5</v>
      </c>
      <c r="S35" s="2782"/>
      <c r="T35" s="2782"/>
      <c r="U35" s="2783"/>
      <c r="V35" s="2781">
        <v>0.6</v>
      </c>
      <c r="W35" s="2782"/>
      <c r="X35" s="2782"/>
      <c r="Y35" s="2783"/>
      <c r="Z35" s="2781">
        <v>0.7</v>
      </c>
      <c r="AA35" s="2782"/>
      <c r="AB35" s="2782"/>
      <c r="AC35" s="2783"/>
      <c r="AD35" s="2781">
        <v>0.8</v>
      </c>
      <c r="AE35" s="2782"/>
      <c r="AF35" s="2782"/>
      <c r="AG35" s="2783"/>
      <c r="AH35" s="2781">
        <v>1</v>
      </c>
      <c r="AI35" s="2782"/>
      <c r="AJ35" s="2782"/>
      <c r="AK35" s="2783"/>
      <c r="AL35" s="2781">
        <v>1.2</v>
      </c>
      <c r="AM35" s="2782"/>
      <c r="AN35" s="2783"/>
      <c r="AO35" s="2784" t="s">
        <v>2076</v>
      </c>
      <c r="AP35" s="2785"/>
      <c r="AQ35" s="2785"/>
      <c r="AR35" s="2785"/>
      <c r="AS35" s="2785"/>
      <c r="AT35" s="2786"/>
      <c r="AU35" s="2784" t="s">
        <v>2077</v>
      </c>
      <c r="AV35" s="2785"/>
      <c r="AW35" s="2785"/>
      <c r="AX35" s="2785"/>
      <c r="AY35" s="2785"/>
      <c r="AZ35" s="2786"/>
      <c r="BA35" s="1457"/>
      <c r="BB35" s="1450"/>
      <c r="BC35" s="1450"/>
      <c r="BD35" s="1450"/>
      <c r="BE35" s="1456"/>
      <c r="BF35" s="1448"/>
    </row>
    <row r="36" spans="1:58" ht="15.75" customHeight="1">
      <c r="A36" s="1679"/>
      <c r="B36" s="2787" t="s">
        <v>2078</v>
      </c>
      <c r="C36" s="2788"/>
      <c r="D36" s="2788"/>
      <c r="E36" s="2788"/>
      <c r="F36" s="2788"/>
      <c r="G36" s="2788"/>
      <c r="H36" s="2788"/>
      <c r="I36" s="2789"/>
      <c r="J36" s="2790" t="s">
        <v>2079</v>
      </c>
      <c r="K36" s="2791"/>
      <c r="L36" s="2791"/>
      <c r="M36" s="2792"/>
      <c r="N36" s="2793">
        <v>55</v>
      </c>
      <c r="O36" s="2794"/>
      <c r="P36" s="2794"/>
      <c r="Q36" s="2795"/>
      <c r="R36" s="2796">
        <v>10</v>
      </c>
      <c r="S36" s="2796"/>
      <c r="T36" s="2796"/>
      <c r="U36" s="2796"/>
      <c r="V36" s="2796">
        <v>30</v>
      </c>
      <c r="W36" s="2796"/>
      <c r="X36" s="2796"/>
      <c r="Y36" s="2796"/>
      <c r="Z36" s="2796"/>
      <c r="AA36" s="2796"/>
      <c r="AB36" s="2796"/>
      <c r="AC36" s="2796"/>
      <c r="AD36" s="2796">
        <v>59</v>
      </c>
      <c r="AE36" s="2796"/>
      <c r="AF36" s="2796"/>
      <c r="AG36" s="2796"/>
      <c r="AH36" s="2797"/>
      <c r="AI36" s="2797"/>
      <c r="AJ36" s="2797"/>
      <c r="AK36" s="2797"/>
      <c r="AL36" s="2797"/>
      <c r="AM36" s="2797"/>
      <c r="AN36" s="2797"/>
      <c r="AO36" s="2755">
        <f>SUM(R36:AN36)</f>
        <v>99</v>
      </c>
      <c r="AP36" s="2755"/>
      <c r="AQ36" s="2755"/>
      <c r="AR36" s="2755"/>
      <c r="AS36" s="2755"/>
      <c r="AT36" s="2755"/>
      <c r="AU36" s="2756">
        <f>AO36/$J$29</f>
        <v>1.5</v>
      </c>
      <c r="AV36" s="2756"/>
      <c r="AW36" s="2756"/>
      <c r="AX36" s="2756"/>
      <c r="AY36" s="2756"/>
      <c r="AZ36" s="2756"/>
      <c r="BA36" s="1450"/>
      <c r="BB36" s="1450"/>
      <c r="BC36" s="1450"/>
      <c r="BD36" s="1450"/>
      <c r="BE36" s="1456"/>
      <c r="BF36" s="1448"/>
    </row>
    <row r="37" spans="1:58" ht="15.75" customHeight="1">
      <c r="A37" s="1679"/>
      <c r="B37" s="2776" t="s">
        <v>2080</v>
      </c>
      <c r="C37" s="2777"/>
      <c r="D37" s="2777"/>
      <c r="E37" s="2777"/>
      <c r="F37" s="2777"/>
      <c r="G37" s="2777"/>
      <c r="H37" s="2777"/>
      <c r="I37" s="2778"/>
      <c r="J37" s="2779" t="s">
        <v>2081</v>
      </c>
      <c r="K37" s="2767"/>
      <c r="L37" s="2767"/>
      <c r="M37" s="2780"/>
      <c r="N37" s="2766">
        <v>55</v>
      </c>
      <c r="O37" s="2767"/>
      <c r="P37" s="2767"/>
      <c r="Q37" s="2768"/>
      <c r="R37" s="2754"/>
      <c r="S37" s="2754"/>
      <c r="T37" s="2754"/>
      <c r="U37" s="2754"/>
      <c r="V37" s="2754"/>
      <c r="W37" s="2754"/>
      <c r="X37" s="2754"/>
      <c r="Y37" s="2754"/>
      <c r="Z37" s="2754"/>
      <c r="AA37" s="2754"/>
      <c r="AB37" s="2754"/>
      <c r="AC37" s="2754"/>
      <c r="AD37" s="2754"/>
      <c r="AE37" s="2754"/>
      <c r="AF37" s="2754"/>
      <c r="AG37" s="2754"/>
      <c r="AH37" s="2754"/>
      <c r="AI37" s="2754"/>
      <c r="AJ37" s="2754"/>
      <c r="AK37" s="2754"/>
      <c r="AL37" s="2754"/>
      <c r="AM37" s="2754"/>
      <c r="AN37" s="2754"/>
      <c r="AO37" s="2755">
        <f t="shared" ref="AO37:AO47" si="4">SUM(R37:AN37)</f>
        <v>0</v>
      </c>
      <c r="AP37" s="2755"/>
      <c r="AQ37" s="2755"/>
      <c r="AR37" s="2755"/>
      <c r="AS37" s="2755"/>
      <c r="AT37" s="2755"/>
      <c r="AU37" s="2756">
        <f t="shared" ref="AU37:AU47" si="5">AO37/$J$29</f>
        <v>0</v>
      </c>
      <c r="AV37" s="2756"/>
      <c r="AW37" s="2756"/>
      <c r="AX37" s="2756"/>
      <c r="AY37" s="2756"/>
      <c r="AZ37" s="2756"/>
      <c r="BA37" s="1450"/>
      <c r="BB37" s="1450"/>
      <c r="BC37" s="1450"/>
      <c r="BD37" s="1450"/>
      <c r="BE37" s="1456"/>
      <c r="BF37" s="1448"/>
    </row>
    <row r="38" spans="1:58" ht="15.75" customHeight="1">
      <c r="A38" s="1679"/>
      <c r="B38" s="2776" t="s">
        <v>2082</v>
      </c>
      <c r="C38" s="2777"/>
      <c r="D38" s="2777"/>
      <c r="E38" s="2777"/>
      <c r="F38" s="2777"/>
      <c r="G38" s="2777"/>
      <c r="H38" s="2777"/>
      <c r="I38" s="2778"/>
      <c r="J38" s="2779" t="s">
        <v>2083</v>
      </c>
      <c r="K38" s="2767"/>
      <c r="L38" s="2767"/>
      <c r="M38" s="2780"/>
      <c r="N38" s="2766">
        <v>55</v>
      </c>
      <c r="O38" s="2767"/>
      <c r="P38" s="2767"/>
      <c r="Q38" s="2768"/>
      <c r="R38" s="2754"/>
      <c r="S38" s="2754"/>
      <c r="T38" s="2754"/>
      <c r="U38" s="2754"/>
      <c r="V38" s="2754"/>
      <c r="W38" s="2754"/>
      <c r="X38" s="2754"/>
      <c r="Y38" s="2754"/>
      <c r="Z38" s="2754"/>
      <c r="AA38" s="2754"/>
      <c r="AB38" s="2754"/>
      <c r="AC38" s="2754"/>
      <c r="AD38" s="2754"/>
      <c r="AE38" s="2754"/>
      <c r="AF38" s="2754"/>
      <c r="AG38" s="2754"/>
      <c r="AH38" s="2754"/>
      <c r="AI38" s="2754"/>
      <c r="AJ38" s="2754"/>
      <c r="AK38" s="2754"/>
      <c r="AL38" s="2754"/>
      <c r="AM38" s="2754"/>
      <c r="AN38" s="2754"/>
      <c r="AO38" s="2755">
        <f t="shared" si="4"/>
        <v>0</v>
      </c>
      <c r="AP38" s="2755"/>
      <c r="AQ38" s="2755"/>
      <c r="AR38" s="2755"/>
      <c r="AS38" s="2755"/>
      <c r="AT38" s="2755"/>
      <c r="AU38" s="2756">
        <f t="shared" si="5"/>
        <v>0</v>
      </c>
      <c r="AV38" s="2756"/>
      <c r="AW38" s="2756"/>
      <c r="AX38" s="2756"/>
      <c r="AY38" s="2756"/>
      <c r="AZ38" s="2756"/>
      <c r="BA38" s="1450"/>
      <c r="BB38" s="1450"/>
      <c r="BC38" s="1450"/>
      <c r="BD38" s="1450"/>
      <c r="BE38" s="1456"/>
      <c r="BF38" s="1448"/>
    </row>
    <row r="39" spans="1:58" ht="15.75" customHeight="1">
      <c r="A39" s="1679"/>
      <c r="B39" s="2776" t="s">
        <v>2084</v>
      </c>
      <c r="C39" s="2777"/>
      <c r="D39" s="2777"/>
      <c r="E39" s="2777"/>
      <c r="F39" s="2777"/>
      <c r="G39" s="2777"/>
      <c r="H39" s="2777"/>
      <c r="I39" s="2778"/>
      <c r="J39" s="2765"/>
      <c r="K39" s="2569"/>
      <c r="L39" s="2569"/>
      <c r="M39" s="2697"/>
      <c r="N39" s="2691"/>
      <c r="O39" s="2569"/>
      <c r="P39" s="2569"/>
      <c r="Q39" s="2769"/>
      <c r="R39" s="2754"/>
      <c r="S39" s="2754"/>
      <c r="T39" s="2754"/>
      <c r="U39" s="2754"/>
      <c r="V39" s="2754"/>
      <c r="W39" s="2754"/>
      <c r="X39" s="2754"/>
      <c r="Y39" s="2754"/>
      <c r="Z39" s="2754"/>
      <c r="AA39" s="2754"/>
      <c r="AB39" s="2754"/>
      <c r="AC39" s="2754"/>
      <c r="AD39" s="2754"/>
      <c r="AE39" s="2754"/>
      <c r="AF39" s="2754"/>
      <c r="AG39" s="2754"/>
      <c r="AH39" s="2754"/>
      <c r="AI39" s="2754"/>
      <c r="AJ39" s="2754"/>
      <c r="AK39" s="2754"/>
      <c r="AL39" s="2754"/>
      <c r="AM39" s="2754"/>
      <c r="AN39" s="2754"/>
      <c r="AO39" s="2755">
        <f t="shared" si="4"/>
        <v>0</v>
      </c>
      <c r="AP39" s="2755"/>
      <c r="AQ39" s="2755"/>
      <c r="AR39" s="2755"/>
      <c r="AS39" s="2755"/>
      <c r="AT39" s="2755"/>
      <c r="AU39" s="2756">
        <f t="shared" si="5"/>
        <v>0</v>
      </c>
      <c r="AV39" s="2756"/>
      <c r="AW39" s="2756"/>
      <c r="AX39" s="2756"/>
      <c r="AY39" s="2756"/>
      <c r="AZ39" s="2756"/>
      <c r="BA39" s="1450"/>
      <c r="BB39" s="1450"/>
      <c r="BC39" s="1450"/>
      <c r="BD39" s="1450"/>
      <c r="BE39" s="1456"/>
    </row>
    <row r="40" spans="1:58" ht="15.75" customHeight="1">
      <c r="A40" s="1679"/>
      <c r="B40" s="2776" t="s">
        <v>2084</v>
      </c>
      <c r="C40" s="2777"/>
      <c r="D40" s="2777"/>
      <c r="E40" s="2777"/>
      <c r="F40" s="2777"/>
      <c r="G40" s="2777"/>
      <c r="H40" s="2777"/>
      <c r="I40" s="2778"/>
      <c r="J40" s="2765"/>
      <c r="K40" s="2569"/>
      <c r="L40" s="2569"/>
      <c r="M40" s="2697"/>
      <c r="N40" s="2691"/>
      <c r="O40" s="2569"/>
      <c r="P40" s="2569"/>
      <c r="Q40" s="2769"/>
      <c r="R40" s="2754"/>
      <c r="S40" s="2754"/>
      <c r="T40" s="2754"/>
      <c r="U40" s="2754"/>
      <c r="V40" s="2754"/>
      <c r="W40" s="2754"/>
      <c r="X40" s="2754"/>
      <c r="Y40" s="2754"/>
      <c r="Z40" s="2754"/>
      <c r="AA40" s="2754"/>
      <c r="AB40" s="2754"/>
      <c r="AC40" s="2754"/>
      <c r="AD40" s="2754"/>
      <c r="AE40" s="2754"/>
      <c r="AF40" s="2754"/>
      <c r="AG40" s="2754"/>
      <c r="AH40" s="2754"/>
      <c r="AI40" s="2754"/>
      <c r="AJ40" s="2754"/>
      <c r="AK40" s="2754"/>
      <c r="AL40" s="2754"/>
      <c r="AM40" s="2754"/>
      <c r="AN40" s="2754"/>
      <c r="AO40" s="2755">
        <f t="shared" si="4"/>
        <v>0</v>
      </c>
      <c r="AP40" s="2755"/>
      <c r="AQ40" s="2755"/>
      <c r="AR40" s="2755"/>
      <c r="AS40" s="2755"/>
      <c r="AT40" s="2755"/>
      <c r="AU40" s="2756">
        <f t="shared" si="5"/>
        <v>0</v>
      </c>
      <c r="AV40" s="2756"/>
      <c r="AW40" s="2756"/>
      <c r="AX40" s="2756"/>
      <c r="AY40" s="2756"/>
      <c r="AZ40" s="2756"/>
      <c r="BA40" s="1450"/>
      <c r="BB40" s="1450"/>
      <c r="BC40" s="1450"/>
      <c r="BD40" s="1450"/>
      <c r="BE40" s="1456"/>
    </row>
    <row r="41" spans="1:58" ht="15.75" customHeight="1">
      <c r="A41" s="1679"/>
      <c r="B41" s="2773" t="s">
        <v>2085</v>
      </c>
      <c r="C41" s="2774"/>
      <c r="D41" s="2774"/>
      <c r="E41" s="2774"/>
      <c r="F41" s="2774"/>
      <c r="G41" s="2774"/>
      <c r="H41" s="2774"/>
      <c r="I41" s="2775"/>
      <c r="J41" s="2765"/>
      <c r="K41" s="2569"/>
      <c r="L41" s="2569"/>
      <c r="M41" s="2697"/>
      <c r="N41" s="2691"/>
      <c r="O41" s="2569"/>
      <c r="P41" s="2569"/>
      <c r="Q41" s="2769"/>
      <c r="R41" s="2754"/>
      <c r="S41" s="2754"/>
      <c r="T41" s="2754"/>
      <c r="U41" s="2754"/>
      <c r="V41" s="2754"/>
      <c r="W41" s="2754"/>
      <c r="X41" s="2754"/>
      <c r="Y41" s="2754"/>
      <c r="Z41" s="2754"/>
      <c r="AA41" s="2754"/>
      <c r="AB41" s="2754"/>
      <c r="AC41" s="2754"/>
      <c r="AD41" s="2754"/>
      <c r="AE41" s="2754"/>
      <c r="AF41" s="2754"/>
      <c r="AG41" s="2754"/>
      <c r="AH41" s="2754"/>
      <c r="AI41" s="2754"/>
      <c r="AJ41" s="2754"/>
      <c r="AK41" s="2754"/>
      <c r="AL41" s="2754"/>
      <c r="AM41" s="2754"/>
      <c r="AN41" s="2754"/>
      <c r="AO41" s="2755">
        <f t="shared" si="4"/>
        <v>0</v>
      </c>
      <c r="AP41" s="2755"/>
      <c r="AQ41" s="2755"/>
      <c r="AR41" s="2755"/>
      <c r="AS41" s="2755"/>
      <c r="AT41" s="2755"/>
      <c r="AU41" s="2756">
        <f t="shared" si="5"/>
        <v>0</v>
      </c>
      <c r="AV41" s="2756"/>
      <c r="AW41" s="2756"/>
      <c r="AX41" s="2756"/>
      <c r="AY41" s="2756"/>
      <c r="AZ41" s="2756"/>
      <c r="BA41" s="1450"/>
      <c r="BB41" s="1450"/>
      <c r="BC41" s="1450"/>
      <c r="BD41" s="1450"/>
      <c r="BE41" s="1456"/>
    </row>
    <row r="42" spans="1:58" ht="15.75" customHeight="1">
      <c r="A42" s="1679"/>
      <c r="B42" s="2773" t="s">
        <v>2085</v>
      </c>
      <c r="C42" s="2774"/>
      <c r="D42" s="2774"/>
      <c r="E42" s="2774"/>
      <c r="F42" s="2774"/>
      <c r="G42" s="2774"/>
      <c r="H42" s="2774"/>
      <c r="I42" s="2775"/>
      <c r="J42" s="2765"/>
      <c r="K42" s="2569"/>
      <c r="L42" s="2569"/>
      <c r="M42" s="2697"/>
      <c r="N42" s="2691"/>
      <c r="O42" s="2569"/>
      <c r="P42" s="2569"/>
      <c r="Q42" s="2769"/>
      <c r="R42" s="2754"/>
      <c r="S42" s="2754"/>
      <c r="T42" s="2754"/>
      <c r="U42" s="2754"/>
      <c r="V42" s="2754"/>
      <c r="W42" s="2754"/>
      <c r="X42" s="2754"/>
      <c r="Y42" s="2754"/>
      <c r="Z42" s="2754"/>
      <c r="AA42" s="2754"/>
      <c r="AB42" s="2754"/>
      <c r="AC42" s="2754"/>
      <c r="AD42" s="2754"/>
      <c r="AE42" s="2754"/>
      <c r="AF42" s="2754"/>
      <c r="AG42" s="2754"/>
      <c r="AH42" s="2754"/>
      <c r="AI42" s="2754"/>
      <c r="AJ42" s="2754"/>
      <c r="AK42" s="2754"/>
      <c r="AL42" s="2754"/>
      <c r="AM42" s="2754"/>
      <c r="AN42" s="2754"/>
      <c r="AO42" s="2755">
        <f t="shared" si="4"/>
        <v>0</v>
      </c>
      <c r="AP42" s="2755"/>
      <c r="AQ42" s="2755"/>
      <c r="AR42" s="2755"/>
      <c r="AS42" s="2755"/>
      <c r="AT42" s="2755"/>
      <c r="AU42" s="2756">
        <f t="shared" si="5"/>
        <v>0</v>
      </c>
      <c r="AV42" s="2756"/>
      <c r="AW42" s="2756"/>
      <c r="AX42" s="2756"/>
      <c r="AY42" s="2756"/>
      <c r="AZ42" s="2756"/>
      <c r="BA42" s="1450"/>
      <c r="BB42" s="1450"/>
      <c r="BC42" s="1450"/>
      <c r="BD42" s="1450"/>
      <c r="BE42" s="1456"/>
    </row>
    <row r="43" spans="1:58" ht="15.75" customHeight="1">
      <c r="A43" s="1679"/>
      <c r="B43" s="2770" t="s">
        <v>2086</v>
      </c>
      <c r="C43" s="2771"/>
      <c r="D43" s="2771"/>
      <c r="E43" s="2771"/>
      <c r="F43" s="2771"/>
      <c r="G43" s="2771"/>
      <c r="H43" s="2771"/>
      <c r="I43" s="2772"/>
      <c r="J43" s="2765"/>
      <c r="K43" s="2569"/>
      <c r="L43" s="2569"/>
      <c r="M43" s="2697"/>
      <c r="N43" s="2691"/>
      <c r="O43" s="2569"/>
      <c r="P43" s="2569"/>
      <c r="Q43" s="2769"/>
      <c r="R43" s="2754"/>
      <c r="S43" s="2754"/>
      <c r="T43" s="2754"/>
      <c r="U43" s="2754"/>
      <c r="V43" s="2754"/>
      <c r="W43" s="2754"/>
      <c r="X43" s="2754"/>
      <c r="Y43" s="2754"/>
      <c r="Z43" s="2754"/>
      <c r="AA43" s="2754"/>
      <c r="AB43" s="2754"/>
      <c r="AC43" s="2754"/>
      <c r="AD43" s="2754"/>
      <c r="AE43" s="2754"/>
      <c r="AF43" s="2754"/>
      <c r="AG43" s="2754"/>
      <c r="AH43" s="2754"/>
      <c r="AI43" s="2754"/>
      <c r="AJ43" s="2754"/>
      <c r="AK43" s="2754"/>
      <c r="AL43" s="2754"/>
      <c r="AM43" s="2754"/>
      <c r="AN43" s="2754"/>
      <c r="AO43" s="2755">
        <f t="shared" si="4"/>
        <v>0</v>
      </c>
      <c r="AP43" s="2755"/>
      <c r="AQ43" s="2755"/>
      <c r="AR43" s="2755"/>
      <c r="AS43" s="2755"/>
      <c r="AT43" s="2755"/>
      <c r="AU43" s="2756">
        <f t="shared" si="5"/>
        <v>0</v>
      </c>
      <c r="AV43" s="2756"/>
      <c r="AW43" s="2756"/>
      <c r="AX43" s="2756"/>
      <c r="AY43" s="2756"/>
      <c r="AZ43" s="2756"/>
      <c r="BA43" s="1450"/>
      <c r="BB43" s="1450"/>
      <c r="BC43" s="1450"/>
      <c r="BD43" s="1450"/>
      <c r="BE43" s="1456"/>
    </row>
    <row r="44" spans="1:58" ht="15.75" customHeight="1">
      <c r="A44" s="1679"/>
      <c r="B44" s="2770" t="s">
        <v>2087</v>
      </c>
      <c r="C44" s="2771"/>
      <c r="D44" s="2771"/>
      <c r="E44" s="2771"/>
      <c r="F44" s="2771"/>
      <c r="G44" s="2771"/>
      <c r="H44" s="2771"/>
      <c r="I44" s="2772"/>
      <c r="J44" s="2765"/>
      <c r="K44" s="2569"/>
      <c r="L44" s="2569"/>
      <c r="M44" s="2697"/>
      <c r="N44" s="2691"/>
      <c r="O44" s="2569"/>
      <c r="P44" s="2569"/>
      <c r="Q44" s="2769"/>
      <c r="R44" s="2754"/>
      <c r="S44" s="2754"/>
      <c r="T44" s="2754"/>
      <c r="U44" s="2754"/>
      <c r="V44" s="2754"/>
      <c r="W44" s="2754"/>
      <c r="X44" s="2754"/>
      <c r="Y44" s="2754"/>
      <c r="Z44" s="2754"/>
      <c r="AA44" s="2754"/>
      <c r="AB44" s="2754"/>
      <c r="AC44" s="2754"/>
      <c r="AD44" s="2754"/>
      <c r="AE44" s="2754"/>
      <c r="AF44" s="2754"/>
      <c r="AG44" s="2754"/>
      <c r="AH44" s="2754"/>
      <c r="AI44" s="2754"/>
      <c r="AJ44" s="2754"/>
      <c r="AK44" s="2754"/>
      <c r="AL44" s="2754"/>
      <c r="AM44" s="2754"/>
      <c r="AN44" s="2754"/>
      <c r="AO44" s="2755">
        <f t="shared" si="4"/>
        <v>0</v>
      </c>
      <c r="AP44" s="2755"/>
      <c r="AQ44" s="2755"/>
      <c r="AR44" s="2755"/>
      <c r="AS44" s="2755"/>
      <c r="AT44" s="2755"/>
      <c r="AU44" s="2756">
        <f t="shared" si="5"/>
        <v>0</v>
      </c>
      <c r="AV44" s="2756"/>
      <c r="AW44" s="2756"/>
      <c r="AX44" s="2756"/>
      <c r="AY44" s="2756"/>
      <c r="AZ44" s="2756"/>
      <c r="BA44" s="1450"/>
      <c r="BB44" s="1450"/>
      <c r="BC44" s="1450"/>
      <c r="BD44" s="1450"/>
      <c r="BE44" s="1456"/>
    </row>
    <row r="45" spans="1:58" ht="15.75" customHeight="1">
      <c r="A45" s="1679"/>
      <c r="B45" s="2762" t="s">
        <v>2088</v>
      </c>
      <c r="C45" s="2763"/>
      <c r="D45" s="2763"/>
      <c r="E45" s="2763"/>
      <c r="F45" s="2763"/>
      <c r="G45" s="2763"/>
      <c r="H45" s="2763"/>
      <c r="I45" s="2764"/>
      <c r="J45" s="2765"/>
      <c r="K45" s="2569"/>
      <c r="L45" s="2569"/>
      <c r="M45" s="2697"/>
      <c r="N45" s="2691"/>
      <c r="O45" s="2569"/>
      <c r="P45" s="2569"/>
      <c r="Q45" s="2769"/>
      <c r="R45" s="2754"/>
      <c r="S45" s="2754"/>
      <c r="T45" s="2754"/>
      <c r="U45" s="2754"/>
      <c r="V45" s="2754"/>
      <c r="W45" s="2754"/>
      <c r="X45" s="2754"/>
      <c r="Y45" s="2754"/>
      <c r="Z45" s="2754"/>
      <c r="AA45" s="2754"/>
      <c r="AB45" s="2754"/>
      <c r="AC45" s="2754"/>
      <c r="AD45" s="2754"/>
      <c r="AE45" s="2754"/>
      <c r="AF45" s="2754"/>
      <c r="AG45" s="2754"/>
      <c r="AH45" s="2754"/>
      <c r="AI45" s="2754"/>
      <c r="AJ45" s="2754"/>
      <c r="AK45" s="2754"/>
      <c r="AL45" s="2754"/>
      <c r="AM45" s="2754"/>
      <c r="AN45" s="2754"/>
      <c r="AO45" s="2755">
        <f t="shared" si="4"/>
        <v>0</v>
      </c>
      <c r="AP45" s="2755"/>
      <c r="AQ45" s="2755"/>
      <c r="AR45" s="2755"/>
      <c r="AS45" s="2755"/>
      <c r="AT45" s="2755"/>
      <c r="AU45" s="2756">
        <f t="shared" si="5"/>
        <v>0</v>
      </c>
      <c r="AV45" s="2756"/>
      <c r="AW45" s="2756"/>
      <c r="AX45" s="2756"/>
      <c r="AY45" s="2756"/>
      <c r="AZ45" s="2756"/>
      <c r="BA45" s="1450"/>
      <c r="BB45" s="1450"/>
      <c r="BC45" s="1450"/>
      <c r="BD45" s="1450"/>
      <c r="BE45" s="1456"/>
    </row>
    <row r="46" spans="1:58" ht="15.75" customHeight="1">
      <c r="A46" s="1679"/>
      <c r="B46" s="2762" t="s">
        <v>2089</v>
      </c>
      <c r="C46" s="2763"/>
      <c r="D46" s="2763"/>
      <c r="E46" s="2763"/>
      <c r="F46" s="2763"/>
      <c r="G46" s="2763"/>
      <c r="H46" s="2763"/>
      <c r="I46" s="2764"/>
      <c r="J46" s="2765"/>
      <c r="K46" s="2569"/>
      <c r="L46" s="2569"/>
      <c r="M46" s="2697"/>
      <c r="N46" s="2766">
        <v>99</v>
      </c>
      <c r="O46" s="2767"/>
      <c r="P46" s="2767"/>
      <c r="Q46" s="2768"/>
      <c r="R46" s="2754"/>
      <c r="S46" s="2754"/>
      <c r="T46" s="2754"/>
      <c r="U46" s="2754"/>
      <c r="V46" s="2754"/>
      <c r="W46" s="2754"/>
      <c r="X46" s="2754"/>
      <c r="Y46" s="2754"/>
      <c r="Z46" s="2754"/>
      <c r="AA46" s="2754"/>
      <c r="AB46" s="2754"/>
      <c r="AC46" s="2754"/>
      <c r="AD46" s="2754"/>
      <c r="AE46" s="2754"/>
      <c r="AF46" s="2754"/>
      <c r="AG46" s="2754"/>
      <c r="AH46" s="2754"/>
      <c r="AI46" s="2754"/>
      <c r="AJ46" s="2754"/>
      <c r="AK46" s="2754"/>
      <c r="AL46" s="2754"/>
      <c r="AM46" s="2754"/>
      <c r="AN46" s="2754"/>
      <c r="AO46" s="2755">
        <f t="shared" si="4"/>
        <v>0</v>
      </c>
      <c r="AP46" s="2755"/>
      <c r="AQ46" s="2755"/>
      <c r="AR46" s="2755"/>
      <c r="AS46" s="2755"/>
      <c r="AT46" s="2755"/>
      <c r="AU46" s="2756">
        <f t="shared" si="5"/>
        <v>0</v>
      </c>
      <c r="AV46" s="2756"/>
      <c r="AW46" s="2756"/>
      <c r="AX46" s="2756"/>
      <c r="AY46" s="2756"/>
      <c r="AZ46" s="2756"/>
      <c r="BA46" s="1450"/>
      <c r="BB46" s="1450"/>
      <c r="BC46" s="1450"/>
      <c r="BD46" s="1450"/>
      <c r="BE46" s="1456"/>
    </row>
    <row r="47" spans="1:58" ht="15.75" customHeight="1" thickBot="1">
      <c r="A47" s="1679"/>
      <c r="B47" s="2757" t="s">
        <v>310</v>
      </c>
      <c r="C47" s="2758"/>
      <c r="D47" s="2758"/>
      <c r="E47" s="2758"/>
      <c r="F47" s="2758"/>
      <c r="G47" s="2758"/>
      <c r="H47" s="2758"/>
      <c r="I47" s="2759"/>
      <c r="J47" s="2760"/>
      <c r="K47" s="2682"/>
      <c r="L47" s="2682"/>
      <c r="M47" s="2683"/>
      <c r="N47" s="2698"/>
      <c r="O47" s="2682"/>
      <c r="P47" s="2682"/>
      <c r="Q47" s="2761"/>
      <c r="R47" s="2754"/>
      <c r="S47" s="2754"/>
      <c r="T47" s="2754"/>
      <c r="U47" s="2754"/>
      <c r="V47" s="2754"/>
      <c r="W47" s="2754"/>
      <c r="X47" s="2754"/>
      <c r="Y47" s="2754"/>
      <c r="Z47" s="2754"/>
      <c r="AA47" s="2754"/>
      <c r="AB47" s="2754"/>
      <c r="AC47" s="2754"/>
      <c r="AD47" s="2754"/>
      <c r="AE47" s="2754"/>
      <c r="AF47" s="2754"/>
      <c r="AG47" s="2754"/>
      <c r="AH47" s="2754"/>
      <c r="AI47" s="2754"/>
      <c r="AJ47" s="2754"/>
      <c r="AK47" s="2754"/>
      <c r="AL47" s="2754"/>
      <c r="AM47" s="2754"/>
      <c r="AN47" s="2754"/>
      <c r="AO47" s="2755">
        <f t="shared" si="4"/>
        <v>0</v>
      </c>
      <c r="AP47" s="2755"/>
      <c r="AQ47" s="2755"/>
      <c r="AR47" s="2755"/>
      <c r="AS47" s="2755"/>
      <c r="AT47" s="2755"/>
      <c r="AU47" s="2756">
        <f t="shared" si="5"/>
        <v>0</v>
      </c>
      <c r="AV47" s="2756"/>
      <c r="AW47" s="2756"/>
      <c r="AX47" s="2756"/>
      <c r="AY47" s="2756"/>
      <c r="AZ47" s="2756"/>
      <c r="BA47" s="1450"/>
      <c r="BB47" s="1450"/>
      <c r="BC47" s="1450"/>
      <c r="BD47" s="1450"/>
      <c r="BE47" s="1456"/>
    </row>
    <row r="48" spans="1:58" ht="15.75" customHeight="1">
      <c r="A48" s="1679"/>
      <c r="B48" s="1458" t="s">
        <v>2090</v>
      </c>
      <c r="C48" s="1450"/>
      <c r="D48" s="1450"/>
      <c r="E48" s="1450"/>
      <c r="F48" s="1450"/>
      <c r="G48" s="1450"/>
      <c r="H48" s="1450"/>
      <c r="I48" s="1450"/>
      <c r="J48" s="1450"/>
      <c r="K48" s="1450"/>
      <c r="L48" s="1450"/>
      <c r="M48" s="1450"/>
      <c r="N48" s="1450"/>
      <c r="O48" s="1450"/>
      <c r="P48" s="1450"/>
      <c r="Q48" s="1450"/>
      <c r="R48" s="1450"/>
      <c r="S48" s="1450"/>
      <c r="T48" s="1450"/>
      <c r="U48" s="1450"/>
      <c r="V48" s="1450"/>
      <c r="W48" s="1450"/>
      <c r="X48" s="1450"/>
      <c r="Y48" s="1450"/>
      <c r="Z48" s="1450"/>
      <c r="AA48" s="1450"/>
      <c r="AB48" s="1450"/>
      <c r="AC48" s="1450"/>
      <c r="AD48" s="1450"/>
      <c r="AE48" s="1450"/>
      <c r="AF48" s="1450"/>
      <c r="AG48" s="1450"/>
      <c r="AH48" s="1450"/>
      <c r="AI48" s="1450"/>
      <c r="AJ48" s="1450"/>
      <c r="AK48" s="1450"/>
      <c r="AL48" s="1450"/>
      <c r="AM48" s="1450"/>
      <c r="AN48" s="1450"/>
      <c r="AO48" s="1450"/>
      <c r="AP48" s="1450"/>
      <c r="AQ48" s="1450"/>
      <c r="AR48" s="1450"/>
      <c r="AS48" s="1450"/>
      <c r="AT48" s="1450"/>
      <c r="AU48" s="1450"/>
      <c r="AV48" s="1450"/>
      <c r="AW48" s="1450"/>
      <c r="AX48" s="1450"/>
      <c r="AY48" s="1450"/>
      <c r="AZ48" s="1450"/>
      <c r="BA48" s="1450"/>
      <c r="BB48" s="1450"/>
      <c r="BC48" s="1450"/>
      <c r="BD48" s="1450"/>
      <c r="BE48" s="1456"/>
      <c r="BF48" s="1448"/>
    </row>
    <row r="49" spans="1:58" ht="15.75" customHeight="1" thickBot="1">
      <c r="A49" s="1679"/>
      <c r="B49" s="1458" t="s">
        <v>2091</v>
      </c>
      <c r="C49" s="1450"/>
      <c r="D49" s="1450"/>
      <c r="E49" s="1450"/>
      <c r="F49" s="1450"/>
      <c r="G49" s="1450"/>
      <c r="H49" s="1450"/>
      <c r="I49" s="1450"/>
      <c r="J49" s="1450"/>
      <c r="K49" s="1450"/>
      <c r="L49" s="1450"/>
      <c r="M49" s="1450"/>
      <c r="N49" s="1450"/>
      <c r="O49" s="1450"/>
      <c r="P49" s="1450"/>
      <c r="Q49" s="1450"/>
      <c r="R49" s="1450"/>
      <c r="S49" s="1450"/>
      <c r="T49" s="1450"/>
      <c r="U49" s="1450"/>
      <c r="V49" s="1450"/>
      <c r="W49" s="1450"/>
      <c r="X49" s="1450"/>
      <c r="Y49" s="1450"/>
      <c r="Z49" s="1450"/>
      <c r="AA49" s="1450"/>
      <c r="AB49" s="1450"/>
      <c r="AC49" s="1450"/>
      <c r="AD49" s="1450"/>
      <c r="AE49" s="1450"/>
      <c r="AF49" s="1450"/>
      <c r="AG49" s="1450"/>
      <c r="AH49" s="1450"/>
      <c r="AI49" s="1450"/>
      <c r="AJ49" s="1450"/>
      <c r="AK49" s="1450"/>
      <c r="AL49" s="1450"/>
      <c r="AM49" s="1450"/>
      <c r="AN49" s="1450"/>
      <c r="AO49" s="1450"/>
      <c r="AP49" s="1452"/>
      <c r="AQ49" s="1452"/>
      <c r="AR49" s="1452"/>
      <c r="AS49" s="1452"/>
      <c r="AT49" s="1452"/>
      <c r="AU49" s="1452"/>
      <c r="AV49" s="1452"/>
      <c r="AW49" s="1452"/>
      <c r="AX49" s="1450"/>
      <c r="AY49" s="1450"/>
      <c r="AZ49" s="1450"/>
      <c r="BA49" s="1450"/>
      <c r="BB49" s="1450"/>
      <c r="BC49" s="1450"/>
      <c r="BD49" s="1450"/>
      <c r="BE49" s="1456"/>
      <c r="BF49" s="1448"/>
    </row>
    <row r="50" spans="1:58" ht="15.75" customHeight="1" thickBot="1">
      <c r="A50" s="1679"/>
      <c r="B50" s="2742" t="s">
        <v>2092</v>
      </c>
      <c r="C50" s="2743"/>
      <c r="D50" s="2743"/>
      <c r="E50" s="2743"/>
      <c r="F50" s="2743"/>
      <c r="G50" s="2743"/>
      <c r="H50" s="2743"/>
      <c r="I50" s="2743"/>
      <c r="J50" s="2743"/>
      <c r="K50" s="2743"/>
      <c r="L50" s="2743"/>
      <c r="M50" s="2743"/>
      <c r="N50" s="2743"/>
      <c r="O50" s="2743"/>
      <c r="P50" s="2743"/>
      <c r="Q50" s="2743"/>
      <c r="R50" s="2743"/>
      <c r="S50" s="2743"/>
      <c r="T50" s="2743"/>
      <c r="U50" s="2743"/>
      <c r="V50" s="2743"/>
      <c r="W50" s="2743"/>
      <c r="X50" s="2743"/>
      <c r="Y50" s="2743"/>
      <c r="Z50" s="2743"/>
      <c r="AA50" s="2743"/>
      <c r="AB50" s="2743"/>
      <c r="AC50" s="2743"/>
      <c r="AD50" s="2743"/>
      <c r="AE50" s="2743"/>
      <c r="AF50" s="2743"/>
      <c r="AG50" s="2743"/>
      <c r="AH50" s="2743"/>
      <c r="AI50" s="2743"/>
      <c r="AJ50" s="2743"/>
      <c r="AK50" s="2743"/>
      <c r="AL50" s="2743"/>
      <c r="AM50" s="2743"/>
      <c r="AN50" s="2743"/>
      <c r="AO50" s="2744"/>
      <c r="AP50" s="1452"/>
      <c r="AQ50" s="1452"/>
      <c r="AR50" s="1452"/>
      <c r="AS50" s="1452"/>
      <c r="AT50" s="1452"/>
      <c r="AU50" s="1452"/>
      <c r="AV50" s="1452"/>
      <c r="AW50" s="1452"/>
      <c r="AX50" s="1450"/>
      <c r="AY50" s="1450"/>
      <c r="AZ50" s="1450"/>
      <c r="BA50" s="1450"/>
      <c r="BB50" s="1450"/>
      <c r="BC50" s="1450"/>
      <c r="BD50" s="1450"/>
      <c r="BE50" s="1456"/>
    </row>
    <row r="51" spans="1:58" ht="33.75" customHeight="1">
      <c r="A51" s="1679"/>
      <c r="B51" s="2745" t="s">
        <v>2093</v>
      </c>
      <c r="C51" s="2746"/>
      <c r="D51" s="2746"/>
      <c r="E51" s="2746"/>
      <c r="F51" s="2746"/>
      <c r="G51" s="2746"/>
      <c r="H51" s="2746"/>
      <c r="I51" s="2747"/>
      <c r="J51" s="2745" t="s">
        <v>2094</v>
      </c>
      <c r="K51" s="2746"/>
      <c r="L51" s="2746"/>
      <c r="M51" s="2746"/>
      <c r="N51" s="2746"/>
      <c r="O51" s="2746"/>
      <c r="P51" s="2746"/>
      <c r="Q51" s="2747"/>
      <c r="R51" s="2748" t="s">
        <v>2095</v>
      </c>
      <c r="S51" s="2749"/>
      <c r="T51" s="2749"/>
      <c r="U51" s="2749"/>
      <c r="V51" s="2749"/>
      <c r="W51" s="2749"/>
      <c r="X51" s="2749"/>
      <c r="Y51" s="2750"/>
      <c r="Z51" s="2751" t="s">
        <v>2096</v>
      </c>
      <c r="AA51" s="2752"/>
      <c r="AB51" s="2752"/>
      <c r="AC51" s="2752"/>
      <c r="AD51" s="2752"/>
      <c r="AE51" s="2752"/>
      <c r="AF51" s="2752"/>
      <c r="AG51" s="2753"/>
      <c r="AH51" s="2751" t="s">
        <v>2097</v>
      </c>
      <c r="AI51" s="2752"/>
      <c r="AJ51" s="2752"/>
      <c r="AK51" s="2752"/>
      <c r="AL51" s="2752"/>
      <c r="AM51" s="2752"/>
      <c r="AN51" s="2752"/>
      <c r="AO51" s="2753"/>
      <c r="AP51" s="1452"/>
      <c r="AQ51" s="1452"/>
      <c r="AR51" s="1452"/>
      <c r="AS51" s="1452"/>
      <c r="AT51" s="1452"/>
      <c r="AU51" s="1452"/>
      <c r="AV51" s="1452"/>
      <c r="AW51" s="1452"/>
      <c r="AX51" s="1457"/>
      <c r="AY51" s="1450"/>
      <c r="AZ51" s="1450"/>
      <c r="BA51" s="1450"/>
      <c r="BB51" s="1450"/>
      <c r="BC51" s="1450"/>
      <c r="BD51" s="1450"/>
      <c r="BE51" s="1456"/>
    </row>
    <row r="52" spans="1:58" ht="15.75" customHeight="1">
      <c r="A52" s="1679"/>
      <c r="B52" s="2740"/>
      <c r="C52" s="2724"/>
      <c r="D52" s="2724"/>
      <c r="E52" s="2724"/>
      <c r="F52" s="2724"/>
      <c r="G52" s="2724"/>
      <c r="H52" s="2724"/>
      <c r="I52" s="2724"/>
      <c r="J52" s="2724"/>
      <c r="K52" s="2724"/>
      <c r="L52" s="2724"/>
      <c r="M52" s="2724"/>
      <c r="N52" s="2724"/>
      <c r="O52" s="2724"/>
      <c r="P52" s="2724"/>
      <c r="Q52" s="2724"/>
      <c r="R52" s="2741"/>
      <c r="S52" s="2741"/>
      <c r="T52" s="2741"/>
      <c r="U52" s="2741"/>
      <c r="V52" s="2741"/>
      <c r="W52" s="2741"/>
      <c r="X52" s="2741"/>
      <c r="Y52" s="2741"/>
      <c r="Z52" s="2724"/>
      <c r="AA52" s="2724"/>
      <c r="AB52" s="2724"/>
      <c r="AC52" s="2724"/>
      <c r="AD52" s="2724"/>
      <c r="AE52" s="2724"/>
      <c r="AF52" s="2724"/>
      <c r="AG52" s="2724"/>
      <c r="AH52" s="2724"/>
      <c r="AI52" s="2724"/>
      <c r="AJ52" s="2724"/>
      <c r="AK52" s="2724"/>
      <c r="AL52" s="2724"/>
      <c r="AM52" s="2724"/>
      <c r="AN52" s="2724"/>
      <c r="AO52" s="2725"/>
      <c r="AP52" s="1452"/>
      <c r="AQ52" s="1452"/>
      <c r="AR52" s="1452"/>
      <c r="AS52" s="1452"/>
      <c r="AT52" s="1452"/>
      <c r="AU52" s="1452"/>
      <c r="AV52" s="1452"/>
      <c r="AW52" s="1452"/>
      <c r="AX52" s="1457"/>
      <c r="AY52" s="1450"/>
      <c r="AZ52" s="1450"/>
      <c r="BA52" s="1450"/>
      <c r="BB52" s="1450"/>
      <c r="BC52" s="1450"/>
      <c r="BD52" s="1450"/>
      <c r="BE52" s="1456"/>
    </row>
    <row r="53" spans="1:58" ht="15.75" customHeight="1">
      <c r="A53" s="1679"/>
      <c r="B53" s="2740"/>
      <c r="C53" s="2724"/>
      <c r="D53" s="2724"/>
      <c r="E53" s="2724"/>
      <c r="F53" s="2724"/>
      <c r="G53" s="2724"/>
      <c r="H53" s="2724"/>
      <c r="I53" s="2724"/>
      <c r="J53" s="2724"/>
      <c r="K53" s="2724"/>
      <c r="L53" s="2724"/>
      <c r="M53" s="2724"/>
      <c r="N53" s="2724"/>
      <c r="O53" s="2724"/>
      <c r="P53" s="2724"/>
      <c r="Q53" s="2724"/>
      <c r="R53" s="2741"/>
      <c r="S53" s="2741"/>
      <c r="T53" s="2741"/>
      <c r="U53" s="2741"/>
      <c r="V53" s="2741"/>
      <c r="W53" s="2741"/>
      <c r="X53" s="2741"/>
      <c r="Y53" s="2741"/>
      <c r="Z53" s="2724"/>
      <c r="AA53" s="2724"/>
      <c r="AB53" s="2724"/>
      <c r="AC53" s="2724"/>
      <c r="AD53" s="2724"/>
      <c r="AE53" s="2724"/>
      <c r="AF53" s="2724"/>
      <c r="AG53" s="2724"/>
      <c r="AH53" s="2724"/>
      <c r="AI53" s="2724"/>
      <c r="AJ53" s="2724"/>
      <c r="AK53" s="2724"/>
      <c r="AL53" s="2724"/>
      <c r="AM53" s="2724"/>
      <c r="AN53" s="2724"/>
      <c r="AO53" s="2725"/>
      <c r="AP53" s="1452"/>
      <c r="AQ53" s="1452"/>
      <c r="AR53" s="1452"/>
      <c r="AS53" s="1452"/>
      <c r="AT53" s="1452"/>
      <c r="AU53" s="1452"/>
      <c r="AV53" s="1452"/>
      <c r="AW53" s="1452"/>
      <c r="AX53" s="1450"/>
      <c r="AY53" s="1450"/>
      <c r="AZ53" s="1450"/>
      <c r="BA53" s="1450"/>
      <c r="BB53" s="1450"/>
      <c r="BC53" s="1450"/>
      <c r="BD53" s="1450"/>
      <c r="BE53" s="1456"/>
    </row>
    <row r="54" spans="1:58" ht="15.75" customHeight="1">
      <c r="A54" s="1679"/>
      <c r="B54" s="2740"/>
      <c r="C54" s="2724"/>
      <c r="D54" s="2724"/>
      <c r="E54" s="2724"/>
      <c r="F54" s="2724"/>
      <c r="G54" s="2724"/>
      <c r="H54" s="2724"/>
      <c r="I54" s="2724"/>
      <c r="J54" s="2724"/>
      <c r="K54" s="2724"/>
      <c r="L54" s="2724"/>
      <c r="M54" s="2724"/>
      <c r="N54" s="2724"/>
      <c r="O54" s="2724"/>
      <c r="P54" s="2724"/>
      <c r="Q54" s="2724"/>
      <c r="R54" s="2741"/>
      <c r="S54" s="2741"/>
      <c r="T54" s="2741"/>
      <c r="U54" s="2741"/>
      <c r="V54" s="2741"/>
      <c r="W54" s="2741"/>
      <c r="X54" s="2741"/>
      <c r="Y54" s="2741"/>
      <c r="Z54" s="2724"/>
      <c r="AA54" s="2724"/>
      <c r="AB54" s="2724"/>
      <c r="AC54" s="2724"/>
      <c r="AD54" s="2724"/>
      <c r="AE54" s="2724"/>
      <c r="AF54" s="2724"/>
      <c r="AG54" s="2724"/>
      <c r="AH54" s="2724"/>
      <c r="AI54" s="2724"/>
      <c r="AJ54" s="2724"/>
      <c r="AK54" s="2724"/>
      <c r="AL54" s="2724"/>
      <c r="AM54" s="2724"/>
      <c r="AN54" s="2724"/>
      <c r="AO54" s="2725"/>
      <c r="AP54" s="1452"/>
      <c r="AQ54" s="1452"/>
      <c r="AR54" s="1452"/>
      <c r="AS54" s="1452"/>
      <c r="AT54" s="1452"/>
      <c r="AU54" s="1452"/>
      <c r="AV54" s="1452"/>
      <c r="AW54" s="1452"/>
      <c r="AX54" s="1450"/>
      <c r="AY54" s="1450"/>
      <c r="AZ54" s="1450"/>
      <c r="BA54" s="1450"/>
      <c r="BB54" s="1450"/>
      <c r="BC54" s="1450"/>
      <c r="BD54" s="1450"/>
      <c r="BE54" s="1456"/>
    </row>
    <row r="55" spans="1:58" ht="15.75" customHeight="1">
      <c r="A55" s="1679"/>
      <c r="B55" s="2740"/>
      <c r="C55" s="2724"/>
      <c r="D55" s="2724"/>
      <c r="E55" s="2724"/>
      <c r="F55" s="2724"/>
      <c r="G55" s="2724"/>
      <c r="H55" s="2724"/>
      <c r="I55" s="2724"/>
      <c r="J55" s="2724"/>
      <c r="K55" s="2724"/>
      <c r="L55" s="2724"/>
      <c r="M55" s="2724"/>
      <c r="N55" s="2724"/>
      <c r="O55" s="2724"/>
      <c r="P55" s="2724"/>
      <c r="Q55" s="2724"/>
      <c r="R55" s="2741"/>
      <c r="S55" s="2741"/>
      <c r="T55" s="2741"/>
      <c r="U55" s="2741"/>
      <c r="V55" s="2741"/>
      <c r="W55" s="2741"/>
      <c r="X55" s="2741"/>
      <c r="Y55" s="2741"/>
      <c r="Z55" s="2724"/>
      <c r="AA55" s="2724"/>
      <c r="AB55" s="2724"/>
      <c r="AC55" s="2724"/>
      <c r="AD55" s="2724"/>
      <c r="AE55" s="2724"/>
      <c r="AF55" s="2724"/>
      <c r="AG55" s="2724"/>
      <c r="AH55" s="2724"/>
      <c r="AI55" s="2724"/>
      <c r="AJ55" s="2724"/>
      <c r="AK55" s="2724"/>
      <c r="AL55" s="2724"/>
      <c r="AM55" s="2724"/>
      <c r="AN55" s="2724"/>
      <c r="AO55" s="2725"/>
      <c r="AP55" s="1452"/>
      <c r="AQ55" s="1452"/>
      <c r="AR55" s="1452"/>
      <c r="AS55" s="1452"/>
      <c r="AT55" s="1452" t="s">
        <v>258</v>
      </c>
      <c r="AU55" s="1452"/>
      <c r="AV55" s="1452"/>
      <c r="AW55" s="1452"/>
      <c r="AX55" s="1450"/>
      <c r="AY55" s="1450"/>
      <c r="AZ55" s="1450"/>
      <c r="BA55" s="1450"/>
      <c r="BB55" s="1450"/>
      <c r="BC55" s="1450"/>
      <c r="BD55" s="1450"/>
      <c r="BE55" s="1456"/>
    </row>
    <row r="56" spans="1:58" ht="15.75" customHeight="1" thickBot="1">
      <c r="A56" s="1679"/>
      <c r="B56" s="2735"/>
      <c r="C56" s="2730"/>
      <c r="D56" s="2730"/>
      <c r="E56" s="2730"/>
      <c r="F56" s="2730"/>
      <c r="G56" s="2730"/>
      <c r="H56" s="2730"/>
      <c r="I56" s="2730"/>
      <c r="J56" s="2730"/>
      <c r="K56" s="2730"/>
      <c r="L56" s="2730"/>
      <c r="M56" s="2730"/>
      <c r="N56" s="2730"/>
      <c r="O56" s="2730"/>
      <c r="P56" s="2730"/>
      <c r="Q56" s="2730"/>
      <c r="R56" s="2736"/>
      <c r="S56" s="2736"/>
      <c r="T56" s="2736"/>
      <c r="U56" s="2736"/>
      <c r="V56" s="2736"/>
      <c r="W56" s="2736"/>
      <c r="X56" s="2736"/>
      <c r="Y56" s="2736"/>
      <c r="Z56" s="2730"/>
      <c r="AA56" s="2730"/>
      <c r="AB56" s="2730"/>
      <c r="AC56" s="2730"/>
      <c r="AD56" s="2730"/>
      <c r="AE56" s="2730"/>
      <c r="AF56" s="2730"/>
      <c r="AG56" s="2730"/>
      <c r="AH56" s="2730"/>
      <c r="AI56" s="2730"/>
      <c r="AJ56" s="2730"/>
      <c r="AK56" s="2730"/>
      <c r="AL56" s="2730"/>
      <c r="AM56" s="2730"/>
      <c r="AN56" s="2730"/>
      <c r="AO56" s="2731"/>
      <c r="AP56" s="1452"/>
      <c r="AQ56" s="1452"/>
      <c r="AR56" s="1452"/>
      <c r="AS56" s="1452"/>
      <c r="AT56" s="1452"/>
      <c r="AU56" s="1452"/>
      <c r="AV56" s="1452"/>
      <c r="AW56" s="1452"/>
      <c r="AX56" s="1450"/>
      <c r="AY56" s="1450"/>
      <c r="AZ56" s="1450"/>
      <c r="BA56" s="1450"/>
      <c r="BB56" s="1450"/>
      <c r="BC56" s="1450"/>
      <c r="BD56" s="1450"/>
      <c r="BE56" s="1456"/>
    </row>
    <row r="57" spans="1:58" s="1460" customFormat="1" ht="15.75" customHeight="1" thickBot="1">
      <c r="A57" s="1680"/>
      <c r="B57" s="2737" t="s">
        <v>1897</v>
      </c>
      <c r="C57" s="2738"/>
      <c r="D57" s="2738"/>
      <c r="E57" s="2738"/>
      <c r="F57" s="2738"/>
      <c r="G57" s="2738"/>
      <c r="H57" s="2738"/>
      <c r="I57" s="2738"/>
      <c r="J57" s="2738"/>
      <c r="K57" s="2738"/>
      <c r="L57" s="2738"/>
      <c r="M57" s="2738"/>
      <c r="N57" s="2738"/>
      <c r="O57" s="2738"/>
      <c r="P57" s="2738"/>
      <c r="Q57" s="2738"/>
      <c r="R57" s="2739">
        <f>SUM(R52:Y56)</f>
        <v>0</v>
      </c>
      <c r="S57" s="2739"/>
      <c r="T57" s="2739"/>
      <c r="U57" s="2739"/>
      <c r="V57" s="2739"/>
      <c r="W57" s="2739"/>
      <c r="X57" s="2739"/>
      <c r="Y57" s="2739"/>
      <c r="Z57" s="2739">
        <f t="shared" ref="Z57" si="6">SUM(Z52:AG56)</f>
        <v>0</v>
      </c>
      <c r="AA57" s="2739"/>
      <c r="AB57" s="2739"/>
      <c r="AC57" s="2739"/>
      <c r="AD57" s="2739"/>
      <c r="AE57" s="2739"/>
      <c r="AF57" s="2739"/>
      <c r="AG57" s="2739"/>
      <c r="AH57" s="2739">
        <f t="shared" ref="AH57" si="7">SUM(AH52:AO56)</f>
        <v>0</v>
      </c>
      <c r="AI57" s="2739"/>
      <c r="AJ57" s="2739"/>
      <c r="AK57" s="2739"/>
      <c r="AL57" s="2739"/>
      <c r="AM57" s="2739"/>
      <c r="AN57" s="2739"/>
      <c r="AO57" s="2739"/>
      <c r="AP57" s="1452"/>
      <c r="AQ57" s="1452"/>
      <c r="AR57" s="1452"/>
      <c r="AS57" s="1452"/>
      <c r="AT57" s="1452"/>
      <c r="AU57" s="1452"/>
      <c r="AV57" s="1452"/>
      <c r="AW57" s="1452"/>
      <c r="AX57" s="1452"/>
      <c r="AY57" s="1452"/>
      <c r="AZ57" s="1452"/>
      <c r="BA57" s="1452"/>
      <c r="BB57" s="1452"/>
      <c r="BC57" s="1452"/>
      <c r="BD57" s="1452"/>
      <c r="BE57" s="1459"/>
    </row>
    <row r="58" spans="1:58" ht="15.75" customHeight="1" thickBot="1">
      <c r="A58" s="1679"/>
      <c r="B58" s="1450"/>
      <c r="C58" s="1450"/>
      <c r="D58" s="1450"/>
      <c r="E58" s="1450"/>
      <c r="F58" s="1450"/>
      <c r="G58" s="1450"/>
      <c r="H58" s="1450"/>
      <c r="I58" s="1450"/>
      <c r="J58" s="1450"/>
      <c r="K58" s="1450"/>
      <c r="L58" s="1450"/>
      <c r="M58" s="1450"/>
      <c r="N58" s="1450"/>
      <c r="O58" s="1450"/>
      <c r="P58" s="1450"/>
      <c r="Q58" s="1450"/>
      <c r="R58" s="1450"/>
      <c r="S58" s="1450"/>
      <c r="T58" s="1450"/>
      <c r="U58" s="1450"/>
      <c r="V58" s="1450"/>
      <c r="W58" s="1450"/>
      <c r="X58" s="1450"/>
      <c r="Y58" s="1450"/>
      <c r="Z58" s="1450"/>
      <c r="AA58" s="1450"/>
      <c r="AB58" s="1450"/>
      <c r="AC58" s="1450"/>
      <c r="AD58" s="1450"/>
      <c r="AE58" s="1450"/>
      <c r="AF58" s="1450"/>
      <c r="AG58" s="1450"/>
      <c r="AH58" s="1450"/>
      <c r="AI58" s="1450"/>
      <c r="AJ58" s="1450"/>
      <c r="AK58" s="1450"/>
      <c r="AL58" s="1450"/>
      <c r="AM58" s="1450"/>
      <c r="AN58" s="1450"/>
      <c r="AO58" s="1450"/>
      <c r="AP58" s="1450"/>
      <c r="AQ58" s="1450"/>
      <c r="AR58" s="1450"/>
      <c r="AS58" s="1450"/>
      <c r="AT58" s="1450"/>
      <c r="AU58" s="1450"/>
      <c r="AV58" s="1450"/>
      <c r="AW58" s="1450"/>
      <c r="AX58" s="1450"/>
      <c r="AY58" s="1450"/>
      <c r="AZ58" s="1450"/>
      <c r="BA58" s="1450"/>
      <c r="BB58" s="1450"/>
      <c r="BC58" s="1450"/>
      <c r="BD58" s="1450"/>
      <c r="BE58" s="1456"/>
    </row>
    <row r="59" spans="1:58" ht="15.75" customHeight="1">
      <c r="A59" s="1679"/>
      <c r="B59" s="2732" t="s">
        <v>2093</v>
      </c>
      <c r="C59" s="2733"/>
      <c r="D59" s="2733"/>
      <c r="E59" s="2733"/>
      <c r="F59" s="2733"/>
      <c r="G59" s="2733"/>
      <c r="H59" s="2733"/>
      <c r="I59" s="2734"/>
      <c r="J59" s="2577" t="s">
        <v>2098</v>
      </c>
      <c r="K59" s="2577"/>
      <c r="L59" s="2577"/>
      <c r="M59" s="2577"/>
      <c r="N59" s="2577"/>
      <c r="O59" s="2577"/>
      <c r="P59" s="2577"/>
      <c r="Q59" s="2577"/>
      <c r="R59" s="2577"/>
      <c r="S59" s="2577"/>
      <c r="T59" s="2577"/>
      <c r="U59" s="2577"/>
      <c r="V59" s="2577"/>
      <c r="W59" s="2577"/>
      <c r="X59" s="2577"/>
      <c r="Y59" s="2577"/>
      <c r="Z59" s="2577"/>
      <c r="AA59" s="2577"/>
      <c r="AB59" s="2577"/>
      <c r="AC59" s="2577"/>
      <c r="AD59" s="2577"/>
      <c r="AE59" s="2577"/>
      <c r="AF59" s="2577"/>
      <c r="AG59" s="2577"/>
      <c r="AH59" s="2577"/>
      <c r="AI59" s="2577"/>
      <c r="AJ59" s="2577"/>
      <c r="AK59" s="2577"/>
      <c r="AL59" s="2577"/>
      <c r="AM59" s="2577"/>
      <c r="AN59" s="2577"/>
      <c r="AO59" s="2577"/>
      <c r="AP59" s="2577"/>
      <c r="AQ59" s="2577"/>
      <c r="AR59" s="2577"/>
      <c r="AS59" s="2577"/>
      <c r="AT59" s="2577"/>
      <c r="AU59" s="2577"/>
      <c r="AV59" s="2577"/>
      <c r="AW59" s="2578"/>
      <c r="AX59" s="1450"/>
      <c r="AY59" s="1450"/>
      <c r="AZ59" s="1450"/>
      <c r="BA59" s="1450"/>
      <c r="BB59" s="1450"/>
      <c r="BC59" s="1450"/>
      <c r="BD59" s="1450"/>
      <c r="BE59" s="1456"/>
    </row>
    <row r="60" spans="1:58" ht="15.75" customHeight="1">
      <c r="A60" s="1679"/>
      <c r="B60" s="2720" t="str">
        <f>IF(B52="", "", B52)</f>
        <v/>
      </c>
      <c r="C60" s="2721"/>
      <c r="D60" s="2721"/>
      <c r="E60" s="2721"/>
      <c r="F60" s="2721"/>
      <c r="G60" s="2721"/>
      <c r="H60" s="2721"/>
      <c r="I60" s="2722"/>
      <c r="J60" s="2723"/>
      <c r="K60" s="2724"/>
      <c r="L60" s="2724"/>
      <c r="M60" s="2724"/>
      <c r="N60" s="2724"/>
      <c r="O60" s="2724"/>
      <c r="P60" s="2724"/>
      <c r="Q60" s="2724"/>
      <c r="R60" s="2724"/>
      <c r="S60" s="2724"/>
      <c r="T60" s="2724"/>
      <c r="U60" s="2724"/>
      <c r="V60" s="2724"/>
      <c r="W60" s="2724"/>
      <c r="X60" s="2724"/>
      <c r="Y60" s="2724"/>
      <c r="Z60" s="2724"/>
      <c r="AA60" s="2724"/>
      <c r="AB60" s="2724"/>
      <c r="AC60" s="2724"/>
      <c r="AD60" s="2724"/>
      <c r="AE60" s="2724"/>
      <c r="AF60" s="2724"/>
      <c r="AG60" s="2724"/>
      <c r="AH60" s="2724"/>
      <c r="AI60" s="2724"/>
      <c r="AJ60" s="2724"/>
      <c r="AK60" s="2724"/>
      <c r="AL60" s="2724"/>
      <c r="AM60" s="2724"/>
      <c r="AN60" s="2724"/>
      <c r="AO60" s="2724"/>
      <c r="AP60" s="2724"/>
      <c r="AQ60" s="2724"/>
      <c r="AR60" s="2724"/>
      <c r="AS60" s="2724"/>
      <c r="AT60" s="2724"/>
      <c r="AU60" s="2724"/>
      <c r="AV60" s="2724"/>
      <c r="AW60" s="2725"/>
      <c r="AX60" s="1450"/>
      <c r="AY60" s="1450"/>
      <c r="AZ60" s="1450"/>
      <c r="BA60" s="1450"/>
      <c r="BB60" s="1450"/>
      <c r="BC60" s="1450"/>
      <c r="BD60" s="1450"/>
      <c r="BE60" s="1456"/>
    </row>
    <row r="61" spans="1:58" ht="15.75" customHeight="1">
      <c r="A61" s="1679"/>
      <c r="B61" s="2720" t="str">
        <f t="shared" ref="B61:B64" si="8">IF(B53="", "", B53)</f>
        <v/>
      </c>
      <c r="C61" s="2721"/>
      <c r="D61" s="2721"/>
      <c r="E61" s="2721"/>
      <c r="F61" s="2721"/>
      <c r="G61" s="2721"/>
      <c r="H61" s="2721"/>
      <c r="I61" s="2722"/>
      <c r="J61" s="2723"/>
      <c r="K61" s="2724"/>
      <c r="L61" s="2724"/>
      <c r="M61" s="2724"/>
      <c r="N61" s="2724"/>
      <c r="O61" s="2724"/>
      <c r="P61" s="2724"/>
      <c r="Q61" s="2724"/>
      <c r="R61" s="2724"/>
      <c r="S61" s="2724"/>
      <c r="T61" s="2724"/>
      <c r="U61" s="2724"/>
      <c r="V61" s="2724"/>
      <c r="W61" s="2724"/>
      <c r="X61" s="2724"/>
      <c r="Y61" s="2724"/>
      <c r="Z61" s="2724"/>
      <c r="AA61" s="2724"/>
      <c r="AB61" s="2724"/>
      <c r="AC61" s="2724"/>
      <c r="AD61" s="2724"/>
      <c r="AE61" s="2724"/>
      <c r="AF61" s="2724"/>
      <c r="AG61" s="2724"/>
      <c r="AH61" s="2724"/>
      <c r="AI61" s="2724"/>
      <c r="AJ61" s="2724"/>
      <c r="AK61" s="2724"/>
      <c r="AL61" s="2724"/>
      <c r="AM61" s="2724"/>
      <c r="AN61" s="2724"/>
      <c r="AO61" s="2724"/>
      <c r="AP61" s="2724"/>
      <c r="AQ61" s="2724"/>
      <c r="AR61" s="2724"/>
      <c r="AS61" s="2724"/>
      <c r="AT61" s="2724"/>
      <c r="AU61" s="2724"/>
      <c r="AV61" s="2724"/>
      <c r="AW61" s="2725"/>
      <c r="AX61" s="1450"/>
      <c r="AY61" s="1450"/>
      <c r="AZ61" s="1450"/>
      <c r="BA61" s="1450"/>
      <c r="BB61" s="1450"/>
      <c r="BC61" s="1450"/>
      <c r="BD61" s="1450"/>
      <c r="BE61" s="1456"/>
    </row>
    <row r="62" spans="1:58" ht="15.75" customHeight="1">
      <c r="A62" s="1679"/>
      <c r="B62" s="2720" t="str">
        <f t="shared" si="8"/>
        <v/>
      </c>
      <c r="C62" s="2721"/>
      <c r="D62" s="2721"/>
      <c r="E62" s="2721"/>
      <c r="F62" s="2721"/>
      <c r="G62" s="2721"/>
      <c r="H62" s="2721"/>
      <c r="I62" s="2722"/>
      <c r="J62" s="2723"/>
      <c r="K62" s="2724"/>
      <c r="L62" s="2724"/>
      <c r="M62" s="2724"/>
      <c r="N62" s="2724"/>
      <c r="O62" s="2724"/>
      <c r="P62" s="2724"/>
      <c r="Q62" s="2724"/>
      <c r="R62" s="2724"/>
      <c r="S62" s="2724"/>
      <c r="T62" s="2724"/>
      <c r="U62" s="2724"/>
      <c r="V62" s="2724"/>
      <c r="W62" s="2724"/>
      <c r="X62" s="2724"/>
      <c r="Y62" s="2724"/>
      <c r="Z62" s="2724"/>
      <c r="AA62" s="2724"/>
      <c r="AB62" s="2724"/>
      <c r="AC62" s="2724"/>
      <c r="AD62" s="2724"/>
      <c r="AE62" s="2724"/>
      <c r="AF62" s="2724"/>
      <c r="AG62" s="2724"/>
      <c r="AH62" s="2724"/>
      <c r="AI62" s="2724"/>
      <c r="AJ62" s="2724"/>
      <c r="AK62" s="2724"/>
      <c r="AL62" s="2724"/>
      <c r="AM62" s="2724"/>
      <c r="AN62" s="2724"/>
      <c r="AO62" s="2724"/>
      <c r="AP62" s="2724"/>
      <c r="AQ62" s="2724"/>
      <c r="AR62" s="2724"/>
      <c r="AS62" s="2724"/>
      <c r="AT62" s="2724"/>
      <c r="AU62" s="2724"/>
      <c r="AV62" s="2724"/>
      <c r="AW62" s="2725"/>
      <c r="AX62" s="1450"/>
      <c r="AY62" s="1450"/>
      <c r="AZ62" s="1450"/>
      <c r="BA62" s="1450"/>
      <c r="BB62" s="1450"/>
      <c r="BC62" s="1450"/>
      <c r="BD62" s="1450"/>
      <c r="BE62" s="1456"/>
    </row>
    <row r="63" spans="1:58" ht="15.75" customHeight="1">
      <c r="A63" s="1679"/>
      <c r="B63" s="2720" t="str">
        <f t="shared" si="8"/>
        <v/>
      </c>
      <c r="C63" s="2721"/>
      <c r="D63" s="2721"/>
      <c r="E63" s="2721"/>
      <c r="F63" s="2721"/>
      <c r="G63" s="2721"/>
      <c r="H63" s="2721"/>
      <c r="I63" s="2722"/>
      <c r="J63" s="2723"/>
      <c r="K63" s="2724"/>
      <c r="L63" s="2724"/>
      <c r="M63" s="2724"/>
      <c r="N63" s="2724"/>
      <c r="O63" s="2724"/>
      <c r="P63" s="2724"/>
      <c r="Q63" s="2724"/>
      <c r="R63" s="2724"/>
      <c r="S63" s="2724"/>
      <c r="T63" s="2724"/>
      <c r="U63" s="2724"/>
      <c r="V63" s="2724"/>
      <c r="W63" s="2724"/>
      <c r="X63" s="2724"/>
      <c r="Y63" s="2724"/>
      <c r="Z63" s="2724"/>
      <c r="AA63" s="2724"/>
      <c r="AB63" s="2724"/>
      <c r="AC63" s="2724"/>
      <c r="AD63" s="2724"/>
      <c r="AE63" s="2724"/>
      <c r="AF63" s="2724"/>
      <c r="AG63" s="2724"/>
      <c r="AH63" s="2724"/>
      <c r="AI63" s="2724"/>
      <c r="AJ63" s="2724"/>
      <c r="AK63" s="2724"/>
      <c r="AL63" s="2724"/>
      <c r="AM63" s="2724"/>
      <c r="AN63" s="2724"/>
      <c r="AO63" s="2724"/>
      <c r="AP63" s="2724"/>
      <c r="AQ63" s="2724"/>
      <c r="AR63" s="2724"/>
      <c r="AS63" s="2724"/>
      <c r="AT63" s="2724"/>
      <c r="AU63" s="2724"/>
      <c r="AV63" s="2724"/>
      <c r="AW63" s="2725"/>
      <c r="AX63" s="1450"/>
      <c r="AY63" s="1450"/>
      <c r="AZ63" s="1450"/>
      <c r="BA63" s="1450"/>
      <c r="BB63" s="1450"/>
      <c r="BC63" s="1450"/>
      <c r="BD63" s="1450"/>
      <c r="BE63" s="1456"/>
    </row>
    <row r="64" spans="1:58" ht="15.75" customHeight="1" thickBot="1">
      <c r="A64" s="1679"/>
      <c r="B64" s="2726" t="str">
        <f t="shared" si="8"/>
        <v/>
      </c>
      <c r="C64" s="2727"/>
      <c r="D64" s="2727"/>
      <c r="E64" s="2727"/>
      <c r="F64" s="2727"/>
      <c r="G64" s="2727"/>
      <c r="H64" s="2727"/>
      <c r="I64" s="2728"/>
      <c r="J64" s="2729"/>
      <c r="K64" s="2730"/>
      <c r="L64" s="2730"/>
      <c r="M64" s="2730"/>
      <c r="N64" s="2730"/>
      <c r="O64" s="2730"/>
      <c r="P64" s="2730"/>
      <c r="Q64" s="2730"/>
      <c r="R64" s="2730"/>
      <c r="S64" s="2730"/>
      <c r="T64" s="2730"/>
      <c r="U64" s="2730"/>
      <c r="V64" s="2730"/>
      <c r="W64" s="2730"/>
      <c r="X64" s="2730"/>
      <c r="Y64" s="2730"/>
      <c r="Z64" s="2730"/>
      <c r="AA64" s="2730"/>
      <c r="AB64" s="2730"/>
      <c r="AC64" s="2730"/>
      <c r="AD64" s="2730"/>
      <c r="AE64" s="2730"/>
      <c r="AF64" s="2730"/>
      <c r="AG64" s="2730"/>
      <c r="AH64" s="2730"/>
      <c r="AI64" s="2730"/>
      <c r="AJ64" s="2730"/>
      <c r="AK64" s="2730"/>
      <c r="AL64" s="2730"/>
      <c r="AM64" s="2730"/>
      <c r="AN64" s="2730"/>
      <c r="AO64" s="2730"/>
      <c r="AP64" s="2730"/>
      <c r="AQ64" s="2730"/>
      <c r="AR64" s="2730"/>
      <c r="AS64" s="2730"/>
      <c r="AT64" s="2730"/>
      <c r="AU64" s="2730"/>
      <c r="AV64" s="2730"/>
      <c r="AW64" s="2731"/>
      <c r="AX64" s="1450"/>
      <c r="AY64" s="1450"/>
      <c r="AZ64" s="1450"/>
      <c r="BA64" s="1450"/>
      <c r="BB64" s="1450"/>
      <c r="BC64" s="1450"/>
      <c r="BD64" s="1450"/>
      <c r="BE64" s="1456"/>
    </row>
    <row r="65" spans="1:57" ht="15.75" customHeight="1">
      <c r="A65" s="1679"/>
      <c r="B65" s="1450"/>
      <c r="C65" s="1450"/>
      <c r="D65" s="1450"/>
      <c r="E65" s="1450"/>
      <c r="F65" s="1450"/>
      <c r="G65" s="1450"/>
      <c r="H65" s="1450"/>
      <c r="I65" s="1450"/>
      <c r="J65" s="1450"/>
      <c r="K65" s="1450"/>
      <c r="L65" s="1450"/>
      <c r="M65" s="1450"/>
      <c r="N65" s="1450"/>
      <c r="O65" s="1450"/>
      <c r="P65" s="1450"/>
      <c r="Q65" s="1450"/>
      <c r="R65" s="1450"/>
      <c r="S65" s="1450"/>
      <c r="T65" s="1450"/>
      <c r="U65" s="1450"/>
      <c r="V65" s="1450"/>
      <c r="W65" s="1450"/>
      <c r="X65" s="1450"/>
      <c r="Y65" s="1450"/>
      <c r="Z65" s="1450"/>
      <c r="AA65" s="1450"/>
      <c r="AB65" s="1450"/>
      <c r="AC65" s="1450"/>
      <c r="AD65" s="1450"/>
      <c r="AE65" s="1450"/>
      <c r="AF65" s="1450"/>
      <c r="AG65" s="1450"/>
      <c r="AH65" s="1450"/>
      <c r="AI65" s="1450"/>
      <c r="AJ65" s="1450"/>
      <c r="AK65" s="1450"/>
      <c r="AL65" s="1450"/>
      <c r="AM65" s="1450"/>
      <c r="AN65" s="1450"/>
      <c r="AO65" s="1450"/>
      <c r="AP65" s="1450"/>
      <c r="AQ65" s="1450"/>
      <c r="AR65" s="1450"/>
      <c r="AS65" s="1450"/>
      <c r="AT65" s="1450"/>
      <c r="AU65" s="1450"/>
      <c r="AV65" s="1450"/>
      <c r="AW65" s="1450"/>
      <c r="AX65" s="1450"/>
      <c r="AY65" s="1450"/>
      <c r="AZ65" s="1450"/>
      <c r="BA65" s="1450"/>
      <c r="BB65" s="1450"/>
      <c r="BC65" s="1450"/>
      <c r="BD65" s="1450"/>
      <c r="BE65" s="1456"/>
    </row>
    <row r="66" spans="1:57" ht="15.75" customHeight="1">
      <c r="A66" s="1681"/>
      <c r="B66" s="1460" t="s">
        <v>2099</v>
      </c>
      <c r="C66" s="1460"/>
      <c r="D66" s="1460"/>
      <c r="E66" s="1460"/>
      <c r="F66" s="1460"/>
      <c r="G66" s="1460"/>
      <c r="H66" s="1460"/>
      <c r="I66" s="1460"/>
      <c r="J66" s="1460"/>
      <c r="K66" s="1460"/>
      <c r="L66" s="1450"/>
      <c r="M66" s="1450"/>
      <c r="N66" s="1450"/>
      <c r="O66" s="1450"/>
      <c r="P66" s="1450"/>
      <c r="Q66" s="1450"/>
      <c r="R66" s="1450"/>
      <c r="S66" s="1450"/>
      <c r="T66" s="1450"/>
      <c r="U66" s="1450"/>
      <c r="V66" s="1450"/>
      <c r="W66" s="1450"/>
      <c r="X66" s="1450"/>
      <c r="Y66" s="1450"/>
      <c r="Z66" s="1450"/>
      <c r="AA66" s="1450"/>
      <c r="AB66" s="1450"/>
      <c r="AC66" s="1450"/>
      <c r="AD66" s="1450"/>
      <c r="AE66" s="1450"/>
      <c r="AF66" s="1450"/>
      <c r="AG66" s="1450"/>
      <c r="AH66" s="1450"/>
      <c r="AI66" s="1450"/>
      <c r="AJ66" s="1450"/>
      <c r="AK66" s="1450"/>
      <c r="AL66" s="1450"/>
      <c r="AM66" s="1450"/>
      <c r="AN66" s="1450"/>
      <c r="AO66" s="1450"/>
      <c r="AP66" s="1450"/>
      <c r="AQ66" s="1450"/>
      <c r="AR66" s="1450"/>
      <c r="AS66" s="1450"/>
      <c r="AT66" s="1450"/>
      <c r="AU66" s="1450"/>
      <c r="AV66" s="1450"/>
      <c r="AW66" s="1450"/>
      <c r="AX66" s="1450"/>
      <c r="AY66" s="1450"/>
      <c r="AZ66" s="1450"/>
      <c r="BA66" s="1450"/>
      <c r="BB66" s="1450"/>
      <c r="BC66" s="1450"/>
      <c r="BD66" s="1450"/>
      <c r="BE66" s="1456"/>
    </row>
    <row r="67" spans="1:57" ht="15.75" customHeight="1" thickBot="1">
      <c r="A67" s="1679"/>
      <c r="B67" s="1450"/>
      <c r="C67" s="1450"/>
      <c r="D67" s="1450"/>
      <c r="E67" s="1450"/>
      <c r="F67" s="1450"/>
      <c r="G67" s="1450"/>
      <c r="H67" s="1450"/>
      <c r="I67" s="1450"/>
      <c r="J67" s="1450"/>
      <c r="K67" s="1450"/>
      <c r="L67" s="1450"/>
      <c r="M67" s="1450"/>
      <c r="N67" s="1450"/>
      <c r="O67" s="1450"/>
      <c r="P67" s="1450"/>
      <c r="Q67" s="1450"/>
      <c r="R67" s="1450"/>
      <c r="S67" s="1450"/>
      <c r="T67" s="1450"/>
      <c r="U67" s="1450"/>
      <c r="V67" s="1450"/>
      <c r="W67" s="1450"/>
      <c r="X67" s="1450"/>
      <c r="Y67" s="1450"/>
      <c r="Z67" s="1450"/>
      <c r="AA67" s="1450"/>
      <c r="AB67" s="1450"/>
      <c r="AC67" s="1450"/>
      <c r="AD67" s="1450"/>
      <c r="AE67" s="1450"/>
      <c r="AF67" s="1450"/>
      <c r="AG67" s="1450"/>
      <c r="AH67" s="1450"/>
      <c r="AI67" s="1450"/>
      <c r="AJ67" s="1450"/>
      <c r="AK67" s="1450"/>
      <c r="AL67" s="1450"/>
      <c r="AM67" s="1450"/>
      <c r="AN67" s="1450"/>
      <c r="AO67" s="1450"/>
      <c r="AP67" s="1450"/>
      <c r="AQ67" s="1450"/>
      <c r="AR67" s="1450"/>
      <c r="AS67" s="1450"/>
      <c r="AT67" s="1450"/>
      <c r="AU67" s="1450"/>
      <c r="AV67" s="1450"/>
      <c r="AW67" s="1450"/>
      <c r="AX67" s="1450"/>
      <c r="AY67" s="1450"/>
      <c r="AZ67" s="1450"/>
      <c r="BA67" s="1450"/>
      <c r="BB67" s="1450"/>
      <c r="BC67" s="1450"/>
      <c r="BD67" s="1450"/>
      <c r="BE67" s="1456"/>
    </row>
    <row r="68" spans="1:57" ht="15.75" customHeight="1">
      <c r="A68" s="1679"/>
      <c r="B68" s="2650" t="s">
        <v>2100</v>
      </c>
      <c r="C68" s="2651"/>
      <c r="D68" s="2651"/>
      <c r="E68" s="2651"/>
      <c r="F68" s="2651"/>
      <c r="G68" s="2651"/>
      <c r="H68" s="2651"/>
      <c r="I68" s="2651"/>
      <c r="J68" s="2651"/>
      <c r="K68" s="2651"/>
      <c r="L68" s="2651"/>
      <c r="M68" s="2651"/>
      <c r="N68" s="2651"/>
      <c r="O68" s="2651"/>
      <c r="P68" s="2651"/>
      <c r="Q68" s="2651"/>
      <c r="R68" s="2651"/>
      <c r="S68" s="2651"/>
      <c r="T68" s="2651"/>
      <c r="U68" s="2651"/>
      <c r="V68" s="2651"/>
      <c r="W68" s="2651"/>
      <c r="X68" s="2651"/>
      <c r="Y68" s="2651"/>
      <c r="Z68" s="2651"/>
      <c r="AA68" s="2712"/>
      <c r="AB68" s="1450"/>
      <c r="AC68" s="2713" t="s">
        <v>2101</v>
      </c>
      <c r="AD68" s="2714"/>
      <c r="AE68" s="2714"/>
      <c r="AF68" s="2714"/>
      <c r="AG68" s="2714"/>
      <c r="AH68" s="2714"/>
      <c r="AI68" s="2714"/>
      <c r="AJ68" s="2714"/>
      <c r="AK68" s="2714"/>
      <c r="AL68" s="2714"/>
      <c r="AM68" s="2714"/>
      <c r="AN68" s="2714"/>
      <c r="AO68" s="2714"/>
      <c r="AP68" s="2714"/>
      <c r="AQ68" s="2714"/>
      <c r="AR68" s="2714"/>
      <c r="AS68" s="2714"/>
      <c r="AT68" s="2714"/>
      <c r="AU68" s="2714"/>
      <c r="AV68" s="2715" t="s">
        <v>2057</v>
      </c>
      <c r="AW68" s="2715"/>
      <c r="AX68" s="2715"/>
      <c r="AY68" s="2715"/>
      <c r="AZ68" s="2715"/>
      <c r="BA68" s="2715"/>
      <c r="BB68" s="2715"/>
      <c r="BC68" s="2716"/>
      <c r="BD68" s="1450"/>
      <c r="BE68" s="1456"/>
    </row>
    <row r="69" spans="1:57" ht="15.75" customHeight="1" thickBot="1">
      <c r="A69" s="1679"/>
      <c r="B69" s="2717" t="s">
        <v>2102</v>
      </c>
      <c r="C69" s="2718"/>
      <c r="D69" s="2718"/>
      <c r="E69" s="2718"/>
      <c r="F69" s="2718"/>
      <c r="G69" s="2718"/>
      <c r="H69" s="2718"/>
      <c r="I69" s="2718"/>
      <c r="J69" s="2718"/>
      <c r="K69" s="2718"/>
      <c r="L69" s="2718"/>
      <c r="M69" s="2718"/>
      <c r="N69" s="2718"/>
      <c r="O69" s="2656" t="s">
        <v>2103</v>
      </c>
      <c r="P69" s="2555"/>
      <c r="Q69" s="2555"/>
      <c r="R69" s="2555"/>
      <c r="S69" s="2555"/>
      <c r="T69" s="2555"/>
      <c r="U69" s="2555"/>
      <c r="V69" s="2555"/>
      <c r="W69" s="2555"/>
      <c r="X69" s="2555"/>
      <c r="Y69" s="2555"/>
      <c r="Z69" s="2555"/>
      <c r="AA69" s="2556"/>
      <c r="AB69" s="1450"/>
      <c r="AC69" s="2498" t="s">
        <v>2104</v>
      </c>
      <c r="AD69" s="2499"/>
      <c r="AE69" s="2499"/>
      <c r="AF69" s="2499"/>
      <c r="AG69" s="2499"/>
      <c r="AH69" s="2499"/>
      <c r="AI69" s="2499"/>
      <c r="AJ69" s="2499"/>
      <c r="AK69" s="2499"/>
      <c r="AL69" s="2499"/>
      <c r="AM69" s="2499"/>
      <c r="AN69" s="2499"/>
      <c r="AO69" s="2499"/>
      <c r="AP69" s="2499"/>
      <c r="AQ69" s="2499"/>
      <c r="AR69" s="2499"/>
      <c r="AS69" s="2499"/>
      <c r="AT69" s="2499"/>
      <c r="AU69" s="2499"/>
      <c r="AV69" s="2604">
        <v>44197</v>
      </c>
      <c r="AW69" s="2603"/>
      <c r="AX69" s="2603"/>
      <c r="AY69" s="2603"/>
      <c r="AZ69" s="2603"/>
      <c r="BA69" s="2603"/>
      <c r="BB69" s="2603"/>
      <c r="BC69" s="2719"/>
      <c r="BD69" s="1450"/>
      <c r="BE69" s="1456"/>
    </row>
    <row r="70" spans="1:57" ht="15.75" customHeight="1">
      <c r="A70" s="1679"/>
      <c r="B70" s="2706"/>
      <c r="C70" s="2707"/>
      <c r="D70" s="2707"/>
      <c r="E70" s="2707"/>
      <c r="F70" s="2707"/>
      <c r="G70" s="2707"/>
      <c r="H70" s="2707"/>
      <c r="I70" s="2707"/>
      <c r="J70" s="2707"/>
      <c r="K70" s="2707"/>
      <c r="L70" s="2707"/>
      <c r="M70" s="2707"/>
      <c r="N70" s="2707"/>
      <c r="O70" s="2692"/>
      <c r="P70" s="2692"/>
      <c r="Q70" s="2692"/>
      <c r="R70" s="2692"/>
      <c r="S70" s="2692"/>
      <c r="T70" s="2692"/>
      <c r="U70" s="2692"/>
      <c r="V70" s="2692"/>
      <c r="W70" s="2692"/>
      <c r="X70" s="2692"/>
      <c r="Y70" s="2692"/>
      <c r="Z70" s="2692"/>
      <c r="AA70" s="2693"/>
      <c r="AB70" s="1450"/>
      <c r="AC70" s="2708" t="s">
        <v>2105</v>
      </c>
      <c r="AD70" s="2709"/>
      <c r="AE70" s="2709"/>
      <c r="AF70" s="2677"/>
      <c r="AG70" s="2677"/>
      <c r="AH70" s="2677"/>
      <c r="AI70" s="2677"/>
      <c r="AJ70" s="2677"/>
      <c r="AK70" s="2677"/>
      <c r="AL70" s="2677"/>
      <c r="AM70" s="2677"/>
      <c r="AN70" s="2677"/>
      <c r="AO70" s="2677"/>
      <c r="AP70" s="2677"/>
      <c r="AQ70" s="2677"/>
      <c r="AR70" s="2677"/>
      <c r="AS70" s="2677"/>
      <c r="AT70" s="2677"/>
      <c r="AU70" s="2678"/>
      <c r="AV70" s="1450"/>
      <c r="AW70" s="1450"/>
      <c r="AX70" s="1450"/>
      <c r="AY70" s="1450"/>
      <c r="AZ70" s="1450"/>
      <c r="BA70" s="1450"/>
      <c r="BB70" s="1450"/>
      <c r="BC70" s="1450"/>
      <c r="BD70" s="1450"/>
      <c r="BE70" s="1456"/>
    </row>
    <row r="71" spans="1:57" ht="15.75" customHeight="1" thickBot="1">
      <c r="A71" s="1679"/>
      <c r="B71" s="2691"/>
      <c r="C71" s="2569"/>
      <c r="D71" s="2569"/>
      <c r="E71" s="2569"/>
      <c r="F71" s="2569"/>
      <c r="G71" s="2569"/>
      <c r="H71" s="2569"/>
      <c r="I71" s="2569"/>
      <c r="J71" s="2569"/>
      <c r="K71" s="2569"/>
      <c r="L71" s="2569"/>
      <c r="M71" s="2569"/>
      <c r="N71" s="2569"/>
      <c r="O71" s="2692"/>
      <c r="P71" s="2692"/>
      <c r="Q71" s="2692"/>
      <c r="R71" s="2692"/>
      <c r="S71" s="2692"/>
      <c r="T71" s="2692"/>
      <c r="U71" s="2692"/>
      <c r="V71" s="2692"/>
      <c r="W71" s="2692"/>
      <c r="X71" s="2692"/>
      <c r="Y71" s="2692"/>
      <c r="Z71" s="2692"/>
      <c r="AA71" s="2693"/>
      <c r="AB71" s="1450"/>
      <c r="AC71" s="2710" t="s">
        <v>2106</v>
      </c>
      <c r="AD71" s="2711"/>
      <c r="AE71" s="2711"/>
      <c r="AF71" s="2682"/>
      <c r="AG71" s="2682"/>
      <c r="AH71" s="2682"/>
      <c r="AI71" s="2682"/>
      <c r="AJ71" s="2682"/>
      <c r="AK71" s="2682"/>
      <c r="AL71" s="2682"/>
      <c r="AM71" s="2682"/>
      <c r="AN71" s="2682"/>
      <c r="AO71" s="2682"/>
      <c r="AP71" s="2682"/>
      <c r="AQ71" s="2682"/>
      <c r="AR71" s="2682"/>
      <c r="AS71" s="2682"/>
      <c r="AT71" s="2682"/>
      <c r="AU71" s="2683"/>
      <c r="AV71" s="1450"/>
      <c r="AW71" s="1450"/>
      <c r="AX71" s="1450"/>
      <c r="AY71" s="1450"/>
      <c r="AZ71" s="1450"/>
      <c r="BA71" s="1450"/>
      <c r="BB71" s="1450"/>
      <c r="BC71" s="1450"/>
      <c r="BD71" s="1450"/>
      <c r="BE71" s="1456"/>
    </row>
    <row r="72" spans="1:57" ht="15.75" customHeight="1">
      <c r="A72" s="1679"/>
      <c r="B72" s="2691"/>
      <c r="C72" s="2569"/>
      <c r="D72" s="2569"/>
      <c r="E72" s="2569"/>
      <c r="F72" s="2569"/>
      <c r="G72" s="2569"/>
      <c r="H72" s="2569"/>
      <c r="I72" s="2569"/>
      <c r="J72" s="2569"/>
      <c r="K72" s="2569"/>
      <c r="L72" s="2569"/>
      <c r="M72" s="2569"/>
      <c r="N72" s="2569"/>
      <c r="O72" s="2692"/>
      <c r="P72" s="2692"/>
      <c r="Q72" s="2692"/>
      <c r="R72" s="2692"/>
      <c r="S72" s="2692"/>
      <c r="T72" s="2692"/>
      <c r="U72" s="2692"/>
      <c r="V72" s="2692"/>
      <c r="W72" s="2692"/>
      <c r="X72" s="2692"/>
      <c r="Y72" s="2692"/>
      <c r="Z72" s="2692"/>
      <c r="AA72" s="2693"/>
      <c r="AB72" s="1450"/>
      <c r="AC72" s="2694" t="s">
        <v>2107</v>
      </c>
      <c r="AD72" s="2695"/>
      <c r="AE72" s="2695"/>
      <c r="AF72" s="2695"/>
      <c r="AG72" s="2695"/>
      <c r="AH72" s="2695"/>
      <c r="AI72" s="2695"/>
      <c r="AJ72" s="2695"/>
      <c r="AK72" s="2695"/>
      <c r="AL72" s="2695"/>
      <c r="AM72" s="2695"/>
      <c r="AN72" s="2695"/>
      <c r="AO72" s="2695"/>
      <c r="AP72" s="2695"/>
      <c r="AQ72" s="2695"/>
      <c r="AR72" s="2695"/>
      <c r="AS72" s="2695"/>
      <c r="AT72" s="2695"/>
      <c r="AU72" s="2695"/>
      <c r="AV72" s="2695"/>
      <c r="AW72" s="2695"/>
      <c r="AX72" s="2695"/>
      <c r="AY72" s="2695"/>
      <c r="AZ72" s="2695"/>
      <c r="BA72" s="2695"/>
      <c r="BB72" s="2695"/>
      <c r="BC72" s="2696"/>
      <c r="BD72" s="1450"/>
      <c r="BE72" s="1456"/>
    </row>
    <row r="73" spans="1:57" ht="15.75" customHeight="1">
      <c r="A73" s="1679"/>
      <c r="B73" s="2691"/>
      <c r="C73" s="2569"/>
      <c r="D73" s="2569"/>
      <c r="E73" s="2569"/>
      <c r="F73" s="2569"/>
      <c r="G73" s="2569"/>
      <c r="H73" s="2569"/>
      <c r="I73" s="2569"/>
      <c r="J73" s="2569"/>
      <c r="K73" s="2569"/>
      <c r="L73" s="2569"/>
      <c r="M73" s="2569"/>
      <c r="N73" s="2569"/>
      <c r="O73" s="2692"/>
      <c r="P73" s="2692"/>
      <c r="Q73" s="2692"/>
      <c r="R73" s="2692"/>
      <c r="S73" s="2692"/>
      <c r="T73" s="2692"/>
      <c r="U73" s="2692"/>
      <c r="V73" s="2692"/>
      <c r="W73" s="2692"/>
      <c r="X73" s="2692"/>
      <c r="Y73" s="2692"/>
      <c r="Z73" s="2692"/>
      <c r="AA73" s="2693"/>
      <c r="AB73" s="1450"/>
      <c r="AC73" s="2691"/>
      <c r="AD73" s="2569"/>
      <c r="AE73" s="2569"/>
      <c r="AF73" s="2569"/>
      <c r="AG73" s="2569"/>
      <c r="AH73" s="2569"/>
      <c r="AI73" s="2569"/>
      <c r="AJ73" s="2569"/>
      <c r="AK73" s="2569"/>
      <c r="AL73" s="2569"/>
      <c r="AM73" s="2569"/>
      <c r="AN73" s="2569"/>
      <c r="AO73" s="2569"/>
      <c r="AP73" s="2569"/>
      <c r="AQ73" s="2569"/>
      <c r="AR73" s="2569"/>
      <c r="AS73" s="2569"/>
      <c r="AT73" s="2569"/>
      <c r="AU73" s="2569"/>
      <c r="AV73" s="2569"/>
      <c r="AW73" s="2569"/>
      <c r="AX73" s="2569"/>
      <c r="AY73" s="2569"/>
      <c r="AZ73" s="2569"/>
      <c r="BA73" s="2569"/>
      <c r="BB73" s="2569"/>
      <c r="BC73" s="2697"/>
      <c r="BD73" s="1450"/>
      <c r="BE73" s="1456"/>
    </row>
    <row r="74" spans="1:57" ht="15.75" customHeight="1" thickBot="1">
      <c r="A74" s="1679"/>
      <c r="B74" s="2691"/>
      <c r="C74" s="2569"/>
      <c r="D74" s="2569"/>
      <c r="E74" s="2569"/>
      <c r="F74" s="2569"/>
      <c r="G74" s="2569"/>
      <c r="H74" s="2569"/>
      <c r="I74" s="2569"/>
      <c r="J74" s="2569"/>
      <c r="K74" s="2569"/>
      <c r="L74" s="2569"/>
      <c r="M74" s="2569"/>
      <c r="N74" s="2569"/>
      <c r="O74" s="2699"/>
      <c r="P74" s="2699"/>
      <c r="Q74" s="2699"/>
      <c r="R74" s="2699"/>
      <c r="S74" s="2699"/>
      <c r="T74" s="2699"/>
      <c r="U74" s="2699"/>
      <c r="V74" s="2699"/>
      <c r="W74" s="2699"/>
      <c r="X74" s="2699"/>
      <c r="Y74" s="2699"/>
      <c r="Z74" s="2699"/>
      <c r="AA74" s="2700"/>
      <c r="AB74" s="1450"/>
      <c r="AC74" s="2691"/>
      <c r="AD74" s="2569"/>
      <c r="AE74" s="2569"/>
      <c r="AF74" s="2569"/>
      <c r="AG74" s="2569"/>
      <c r="AH74" s="2569"/>
      <c r="AI74" s="2569"/>
      <c r="AJ74" s="2569"/>
      <c r="AK74" s="2569"/>
      <c r="AL74" s="2569"/>
      <c r="AM74" s="2569"/>
      <c r="AN74" s="2569"/>
      <c r="AO74" s="2569"/>
      <c r="AP74" s="2569"/>
      <c r="AQ74" s="2569"/>
      <c r="AR74" s="2569"/>
      <c r="AS74" s="2569"/>
      <c r="AT74" s="2569"/>
      <c r="AU74" s="2569"/>
      <c r="AV74" s="2569"/>
      <c r="AW74" s="2569"/>
      <c r="AX74" s="2569"/>
      <c r="AY74" s="2569"/>
      <c r="AZ74" s="2569"/>
      <c r="BA74" s="2569"/>
      <c r="BB74" s="2569"/>
      <c r="BC74" s="2697"/>
      <c r="BD74" s="1450"/>
      <c r="BE74" s="1456"/>
    </row>
    <row r="75" spans="1:57" ht="15.75" customHeight="1" thickTop="1" thickBot="1">
      <c r="A75" s="1679"/>
      <c r="B75" s="2701" t="s">
        <v>129</v>
      </c>
      <c r="C75" s="2702"/>
      <c r="D75" s="2702"/>
      <c r="E75" s="2702"/>
      <c r="F75" s="2702"/>
      <c r="G75" s="2702"/>
      <c r="H75" s="2702"/>
      <c r="I75" s="2702"/>
      <c r="J75" s="2702"/>
      <c r="K75" s="2702"/>
      <c r="L75" s="2702"/>
      <c r="M75" s="2702"/>
      <c r="N75" s="2702"/>
      <c r="O75" s="2703">
        <f>SUM(O70:AA74)</f>
        <v>0</v>
      </c>
      <c r="P75" s="2704"/>
      <c r="Q75" s="2704"/>
      <c r="R75" s="2704"/>
      <c r="S75" s="2704"/>
      <c r="T75" s="2704"/>
      <c r="U75" s="2704"/>
      <c r="V75" s="2704"/>
      <c r="W75" s="2704"/>
      <c r="X75" s="2704"/>
      <c r="Y75" s="2704"/>
      <c r="Z75" s="2704"/>
      <c r="AA75" s="2705"/>
      <c r="AB75" s="1450"/>
      <c r="AC75" s="2691"/>
      <c r="AD75" s="2569"/>
      <c r="AE75" s="2569"/>
      <c r="AF75" s="2569"/>
      <c r="AG75" s="2569"/>
      <c r="AH75" s="2569"/>
      <c r="AI75" s="2569"/>
      <c r="AJ75" s="2569"/>
      <c r="AK75" s="2569"/>
      <c r="AL75" s="2569"/>
      <c r="AM75" s="2569"/>
      <c r="AN75" s="2569"/>
      <c r="AO75" s="2569"/>
      <c r="AP75" s="2569"/>
      <c r="AQ75" s="2569"/>
      <c r="AR75" s="2569"/>
      <c r="AS75" s="2569"/>
      <c r="AT75" s="2569"/>
      <c r="AU75" s="2569"/>
      <c r="AV75" s="2569"/>
      <c r="AW75" s="2569"/>
      <c r="AX75" s="2569"/>
      <c r="AY75" s="2569"/>
      <c r="AZ75" s="2569"/>
      <c r="BA75" s="2569"/>
      <c r="BB75" s="2569"/>
      <c r="BC75" s="2697"/>
      <c r="BD75" s="1450"/>
      <c r="BE75" s="1456"/>
    </row>
    <row r="76" spans="1:57" ht="15.75" customHeight="1">
      <c r="A76" s="1679"/>
      <c r="B76" s="1450"/>
      <c r="C76" s="1450"/>
      <c r="D76" s="1450"/>
      <c r="E76" s="1450"/>
      <c r="F76" s="1450"/>
      <c r="G76" s="1450"/>
      <c r="H76" s="1450"/>
      <c r="I76" s="1450"/>
      <c r="J76" s="1450"/>
      <c r="K76" s="1450"/>
      <c r="L76" s="1450"/>
      <c r="M76" s="1450"/>
      <c r="N76" s="1450"/>
      <c r="O76" s="1450"/>
      <c r="P76" s="1450"/>
      <c r="Q76" s="1450"/>
      <c r="R76" s="1450"/>
      <c r="S76" s="1450"/>
      <c r="T76" s="1450"/>
      <c r="U76" s="1450"/>
      <c r="V76" s="1450"/>
      <c r="W76" s="1450"/>
      <c r="X76" s="1450"/>
      <c r="Y76" s="1450"/>
      <c r="Z76" s="1450"/>
      <c r="AA76" s="1450"/>
      <c r="AB76" s="1450"/>
      <c r="AC76" s="2691"/>
      <c r="AD76" s="2569"/>
      <c r="AE76" s="2569"/>
      <c r="AF76" s="2569"/>
      <c r="AG76" s="2569"/>
      <c r="AH76" s="2569"/>
      <c r="AI76" s="2569"/>
      <c r="AJ76" s="2569"/>
      <c r="AK76" s="2569"/>
      <c r="AL76" s="2569"/>
      <c r="AM76" s="2569"/>
      <c r="AN76" s="2569"/>
      <c r="AO76" s="2569"/>
      <c r="AP76" s="2569"/>
      <c r="AQ76" s="2569"/>
      <c r="AR76" s="2569"/>
      <c r="AS76" s="2569"/>
      <c r="AT76" s="2569"/>
      <c r="AU76" s="2569"/>
      <c r="AV76" s="2569"/>
      <c r="AW76" s="2569"/>
      <c r="AX76" s="2569"/>
      <c r="AY76" s="2569"/>
      <c r="AZ76" s="2569"/>
      <c r="BA76" s="2569"/>
      <c r="BB76" s="2569"/>
      <c r="BC76" s="2697"/>
      <c r="BD76" s="1450"/>
      <c r="BE76" s="1456"/>
    </row>
    <row r="77" spans="1:57" ht="15.75" customHeight="1" thickBot="1">
      <c r="A77" s="1679"/>
      <c r="B77" s="1461" t="s">
        <v>2108</v>
      </c>
      <c r="C77" s="1462"/>
      <c r="D77" s="1462"/>
      <c r="E77" s="1462"/>
      <c r="F77" s="1462"/>
      <c r="G77" s="1462"/>
      <c r="H77" s="1462"/>
      <c r="I77" s="1462"/>
      <c r="J77" s="1462"/>
      <c r="K77" s="1462"/>
      <c r="L77" s="1462"/>
      <c r="M77" s="1462"/>
      <c r="N77" s="1462"/>
      <c r="O77" s="1462"/>
      <c r="P77" s="1462"/>
      <c r="Q77" s="1450"/>
      <c r="R77" s="1450"/>
      <c r="S77" s="1450"/>
      <c r="T77" s="1450"/>
      <c r="U77" s="1450"/>
      <c r="V77" s="1450"/>
      <c r="W77" s="1450"/>
      <c r="X77" s="1450"/>
      <c r="Y77" s="1450"/>
      <c r="Z77" s="1450"/>
      <c r="AA77" s="1450"/>
      <c r="AB77" s="1450"/>
      <c r="AC77" s="2698"/>
      <c r="AD77" s="2682"/>
      <c r="AE77" s="2682"/>
      <c r="AF77" s="2682"/>
      <c r="AG77" s="2682"/>
      <c r="AH77" s="2682"/>
      <c r="AI77" s="2682"/>
      <c r="AJ77" s="2682"/>
      <c r="AK77" s="2682"/>
      <c r="AL77" s="2682"/>
      <c r="AM77" s="2682"/>
      <c r="AN77" s="2682"/>
      <c r="AO77" s="2682"/>
      <c r="AP77" s="2682"/>
      <c r="AQ77" s="2682"/>
      <c r="AR77" s="2682"/>
      <c r="AS77" s="2682"/>
      <c r="AT77" s="2682"/>
      <c r="AU77" s="2682"/>
      <c r="AV77" s="2682"/>
      <c r="AW77" s="2682"/>
      <c r="AX77" s="2682"/>
      <c r="AY77" s="2682"/>
      <c r="AZ77" s="2682"/>
      <c r="BA77" s="2682"/>
      <c r="BB77" s="2682"/>
      <c r="BC77" s="2683"/>
      <c r="BD77" s="1450"/>
      <c r="BE77" s="1456"/>
    </row>
    <row r="78" spans="1:57" ht="15.75" customHeight="1" thickBot="1">
      <c r="A78" s="1679"/>
      <c r="B78" s="1450"/>
      <c r="C78" s="1450"/>
      <c r="D78" s="1450"/>
      <c r="E78" s="1450"/>
      <c r="F78" s="1450"/>
      <c r="G78" s="1450"/>
      <c r="H78" s="1450"/>
      <c r="I78" s="1450"/>
      <c r="J78" s="1450"/>
      <c r="K78" s="1450"/>
      <c r="L78" s="1450"/>
      <c r="M78" s="1450"/>
      <c r="N78" s="1450"/>
      <c r="O78" s="1450"/>
      <c r="P78" s="1450"/>
      <c r="Q78" s="1450"/>
      <c r="R78" s="1450"/>
      <c r="S78" s="1450"/>
      <c r="T78" s="1450"/>
      <c r="U78" s="1450"/>
      <c r="V78" s="1450"/>
      <c r="W78" s="1450"/>
      <c r="X78" s="1450"/>
      <c r="Y78" s="1450"/>
      <c r="Z78" s="1450"/>
      <c r="AA78" s="1450"/>
      <c r="AB78" s="1450"/>
      <c r="AC78" s="1450"/>
      <c r="AD78" s="1450"/>
      <c r="AE78" s="1450"/>
      <c r="AF78" s="1450"/>
      <c r="AG78" s="1450"/>
      <c r="AH78" s="1450"/>
      <c r="AI78" s="1450"/>
      <c r="AJ78" s="1450"/>
      <c r="AK78" s="1450"/>
      <c r="AL78" s="1450"/>
      <c r="AM78" s="1450"/>
      <c r="AN78" s="1450"/>
      <c r="AO78" s="1450"/>
      <c r="AP78" s="1450"/>
      <c r="AQ78" s="1450"/>
      <c r="AR78" s="1450"/>
      <c r="AS78" s="1450"/>
      <c r="AT78" s="1450"/>
      <c r="AU78" s="1450"/>
      <c r="AV78" s="1450"/>
      <c r="AW78" s="1450"/>
      <c r="AX78" s="1450"/>
      <c r="AY78" s="1450"/>
      <c r="AZ78" s="1450"/>
      <c r="BA78" s="1450"/>
      <c r="BB78" s="1450"/>
      <c r="BC78" s="1450"/>
      <c r="BD78" s="1450"/>
      <c r="BE78" s="1456"/>
    </row>
    <row r="79" spans="1:57" ht="15.75" customHeight="1" thickBot="1">
      <c r="A79" s="1679"/>
      <c r="B79" s="2581" t="s">
        <v>2109</v>
      </c>
      <c r="C79" s="2582"/>
      <c r="D79" s="2582"/>
      <c r="E79" s="2582"/>
      <c r="F79" s="2582"/>
      <c r="G79" s="2582"/>
      <c r="H79" s="2582"/>
      <c r="I79" s="2582"/>
      <c r="J79" s="2582"/>
      <c r="K79" s="2582"/>
      <c r="L79" s="2582"/>
      <c r="M79" s="2582"/>
      <c r="N79" s="2582"/>
      <c r="O79" s="2582"/>
      <c r="P79" s="2582"/>
      <c r="Q79" s="2582"/>
      <c r="R79" s="2582"/>
      <c r="S79" s="2582"/>
      <c r="T79" s="2582"/>
      <c r="U79" s="2582"/>
      <c r="V79" s="2582"/>
      <c r="W79" s="2582"/>
      <c r="X79" s="2582"/>
      <c r="Y79" s="2582"/>
      <c r="Z79" s="2582"/>
      <c r="AA79" s="2582"/>
      <c r="AB79" s="2689"/>
      <c r="AC79" s="2689"/>
      <c r="AD79" s="2689"/>
      <c r="AE79" s="2689"/>
      <c r="AF79" s="2689"/>
      <c r="AG79" s="2690"/>
      <c r="AH79" s="1450"/>
      <c r="AI79" s="1450"/>
      <c r="AJ79" s="1450"/>
      <c r="AK79" s="1450"/>
      <c r="AL79" s="1450"/>
      <c r="AM79" s="1450"/>
      <c r="AN79" s="1450"/>
      <c r="AO79" s="1450"/>
      <c r="AP79" s="1450"/>
      <c r="AQ79" s="1450"/>
      <c r="AR79" s="1450"/>
      <c r="AS79" s="1450"/>
      <c r="AT79" s="1450"/>
      <c r="AU79" s="1450"/>
      <c r="AV79" s="1450"/>
      <c r="AW79" s="1450"/>
      <c r="AX79" s="1450"/>
      <c r="AY79" s="1450"/>
      <c r="AZ79" s="1450"/>
      <c r="BA79" s="1450"/>
      <c r="BB79" s="1450"/>
      <c r="BC79" s="1450"/>
      <c r="BD79" s="1450"/>
      <c r="BE79" s="1456"/>
    </row>
    <row r="80" spans="1:57" ht="15.75" customHeight="1" thickBot="1">
      <c r="A80" s="1679"/>
      <c r="B80" s="2581"/>
      <c r="C80" s="2582"/>
      <c r="D80" s="2582"/>
      <c r="E80" s="2582"/>
      <c r="F80" s="2582"/>
      <c r="G80" s="2582"/>
      <c r="H80" s="2583"/>
      <c r="I80" s="2671" t="s">
        <v>2110</v>
      </c>
      <c r="J80" s="2672"/>
      <c r="K80" s="2672"/>
      <c r="L80" s="2672"/>
      <c r="M80" s="2672"/>
      <c r="N80" s="2673"/>
      <c r="O80" s="2671" t="s">
        <v>2111</v>
      </c>
      <c r="P80" s="2672"/>
      <c r="Q80" s="2672"/>
      <c r="R80" s="2672"/>
      <c r="S80" s="2672"/>
      <c r="T80" s="2672"/>
      <c r="U80" s="2673"/>
      <c r="V80" s="2671" t="s">
        <v>2112</v>
      </c>
      <c r="W80" s="2672"/>
      <c r="X80" s="2672"/>
      <c r="Y80" s="2672"/>
      <c r="Z80" s="2672"/>
      <c r="AA80" s="2673"/>
      <c r="AB80" s="2671" t="s">
        <v>2113</v>
      </c>
      <c r="AC80" s="2672"/>
      <c r="AD80" s="2672"/>
      <c r="AE80" s="2672"/>
      <c r="AF80" s="2672"/>
      <c r="AG80" s="2673"/>
      <c r="AH80" s="1450"/>
      <c r="AI80" s="1450"/>
      <c r="AJ80" s="1450"/>
      <c r="AK80" s="1450"/>
      <c r="AL80" s="1450"/>
      <c r="AM80" s="1450"/>
      <c r="AN80" s="1450"/>
      <c r="AO80" s="1450"/>
      <c r="AP80" s="1450"/>
      <c r="AQ80" s="1450"/>
      <c r="AR80" s="1450"/>
      <c r="AS80" s="1450"/>
      <c r="AT80" s="1450"/>
      <c r="AU80" s="1450"/>
      <c r="AV80" s="1450"/>
      <c r="AW80" s="1450"/>
      <c r="AX80" s="1450"/>
      <c r="AY80" s="1450"/>
      <c r="AZ80" s="1450"/>
      <c r="BA80" s="1450"/>
      <c r="BB80" s="1450"/>
      <c r="BC80" s="1450"/>
      <c r="BD80" s="1450"/>
      <c r="BE80" s="1456"/>
    </row>
    <row r="81" spans="1:57" ht="15.75" customHeight="1" thickBot="1">
      <c r="A81" s="1679"/>
      <c r="B81" s="2671" t="s">
        <v>2114</v>
      </c>
      <c r="C81" s="2672"/>
      <c r="D81" s="2672"/>
      <c r="E81" s="2672"/>
      <c r="F81" s="2672"/>
      <c r="G81" s="2672"/>
      <c r="H81" s="2673"/>
      <c r="I81" s="2674"/>
      <c r="J81" s="2675"/>
      <c r="K81" s="2675"/>
      <c r="L81" s="2675"/>
      <c r="M81" s="2675"/>
      <c r="N81" s="2675"/>
      <c r="O81" s="2675"/>
      <c r="P81" s="2675"/>
      <c r="Q81" s="2675"/>
      <c r="R81" s="2675"/>
      <c r="S81" s="2675"/>
      <c r="T81" s="2675"/>
      <c r="U81" s="2675"/>
      <c r="V81" s="2675"/>
      <c r="W81" s="2675"/>
      <c r="X81" s="2675"/>
      <c r="Y81" s="2675"/>
      <c r="Z81" s="2675"/>
      <c r="AA81" s="2676"/>
      <c r="AB81" s="2675"/>
      <c r="AC81" s="2675"/>
      <c r="AD81" s="2675"/>
      <c r="AE81" s="2675"/>
      <c r="AF81" s="2675"/>
      <c r="AG81" s="2676"/>
      <c r="AH81" s="1450"/>
      <c r="AI81" s="1450"/>
      <c r="AJ81" s="1450"/>
      <c r="AK81" s="1450" t="s">
        <v>258</v>
      </c>
      <c r="AL81" s="1450"/>
      <c r="AM81" s="1450"/>
      <c r="AN81" s="1450"/>
      <c r="AO81" s="1450"/>
      <c r="AP81" s="1450"/>
      <c r="AQ81" s="1450"/>
      <c r="AR81" s="1450"/>
      <c r="AS81" s="1450"/>
      <c r="AT81" s="1450"/>
      <c r="AU81" s="1450"/>
      <c r="AV81" s="1450"/>
      <c r="AW81" s="1450"/>
      <c r="AX81" s="1450"/>
      <c r="AY81" s="1450"/>
      <c r="AZ81" s="1450"/>
      <c r="BA81" s="1450"/>
      <c r="BB81" s="1450"/>
      <c r="BC81" s="1450"/>
      <c r="BD81" s="1450"/>
      <c r="BE81" s="1456"/>
    </row>
    <row r="82" spans="1:57" ht="15.75" customHeight="1" thickBot="1">
      <c r="A82" s="1679"/>
      <c r="B82" s="2671" t="s">
        <v>2115</v>
      </c>
      <c r="C82" s="2672"/>
      <c r="D82" s="2672"/>
      <c r="E82" s="2672"/>
      <c r="F82" s="2672"/>
      <c r="G82" s="2672"/>
      <c r="H82" s="2673"/>
      <c r="I82" s="2679"/>
      <c r="J82" s="2680"/>
      <c r="K82" s="2680"/>
      <c r="L82" s="2680"/>
      <c r="M82" s="2680"/>
      <c r="N82" s="2680"/>
      <c r="O82" s="2680"/>
      <c r="P82" s="2680"/>
      <c r="Q82" s="2680"/>
      <c r="R82" s="2680"/>
      <c r="S82" s="2680"/>
      <c r="T82" s="2680"/>
      <c r="U82" s="2680"/>
      <c r="V82" s="2680"/>
      <c r="W82" s="2680"/>
      <c r="X82" s="2680"/>
      <c r="Y82" s="2680"/>
      <c r="Z82" s="2680"/>
      <c r="AA82" s="2681"/>
      <c r="AB82" s="2680"/>
      <c r="AC82" s="2680"/>
      <c r="AD82" s="2680"/>
      <c r="AE82" s="2680"/>
      <c r="AF82" s="2680"/>
      <c r="AG82" s="2681"/>
      <c r="AH82" s="1450"/>
      <c r="AI82" s="1450"/>
      <c r="AJ82" s="1450"/>
      <c r="AK82" s="1450"/>
      <c r="AL82" s="1450"/>
      <c r="AM82" s="1450"/>
      <c r="AN82" s="1450"/>
      <c r="AO82" s="1450"/>
      <c r="AP82" s="1450"/>
      <c r="AQ82" s="1450"/>
      <c r="AR82" s="1450"/>
      <c r="AS82" s="1450"/>
      <c r="AT82" s="1450"/>
      <c r="AU82" s="1450"/>
      <c r="AV82" s="1450"/>
      <c r="AW82" s="1450"/>
      <c r="AX82" s="1450"/>
      <c r="AY82" s="1450"/>
      <c r="AZ82" s="1450"/>
      <c r="BA82" s="1450"/>
      <c r="BB82" s="1450"/>
      <c r="BC82" s="1450"/>
      <c r="BD82" s="1450"/>
      <c r="BE82" s="1456"/>
    </row>
    <row r="83" spans="1:57" ht="15.75" customHeight="1">
      <c r="A83" s="1679"/>
      <c r="B83" s="1450"/>
      <c r="C83" s="1450"/>
      <c r="D83" s="1450"/>
      <c r="E83" s="1450"/>
      <c r="F83" s="1450"/>
      <c r="G83" s="1450"/>
      <c r="H83" s="1450"/>
      <c r="I83" s="1450"/>
      <c r="J83" s="1450"/>
      <c r="K83" s="1450"/>
      <c r="L83" s="1450"/>
      <c r="M83" s="1450"/>
      <c r="N83" s="1450"/>
      <c r="O83" s="1450"/>
      <c r="P83" s="1450"/>
      <c r="Q83" s="1450"/>
      <c r="R83" s="1450"/>
      <c r="S83" s="1450"/>
      <c r="T83" s="1450"/>
      <c r="U83" s="1450"/>
      <c r="V83" s="1450"/>
      <c r="W83" s="1450"/>
      <c r="X83" s="1450"/>
      <c r="Y83" s="1450"/>
      <c r="Z83" s="1450"/>
      <c r="AA83" s="1450"/>
      <c r="AB83" s="1450"/>
      <c r="AC83" s="1450"/>
      <c r="AD83" s="1450"/>
      <c r="AE83" s="1450"/>
      <c r="AF83" s="1450"/>
      <c r="AG83" s="1450"/>
      <c r="AH83" s="1450"/>
      <c r="AI83" s="1450"/>
      <c r="AJ83" s="1450"/>
      <c r="AK83" s="1450"/>
      <c r="AL83" s="1450"/>
      <c r="AM83" s="1450"/>
      <c r="AN83" s="1450"/>
      <c r="AO83" s="1450"/>
      <c r="AP83" s="1450"/>
      <c r="AQ83" s="1450"/>
      <c r="AR83" s="1450"/>
      <c r="AS83" s="1450"/>
      <c r="AT83" s="1450"/>
      <c r="AU83" s="1450"/>
      <c r="AV83" s="1450"/>
      <c r="AW83" s="1450"/>
      <c r="AX83" s="1450"/>
      <c r="AY83" s="1450"/>
      <c r="AZ83" s="1450"/>
      <c r="BA83" s="1450"/>
      <c r="BB83" s="1450"/>
      <c r="BC83" s="1450"/>
      <c r="BD83" s="1450"/>
      <c r="BE83" s="1456"/>
    </row>
    <row r="84" spans="1:57" ht="15.75" customHeight="1">
      <c r="A84" s="1679"/>
      <c r="B84" s="1460" t="s">
        <v>2116</v>
      </c>
      <c r="P84" s="1450"/>
      <c r="Q84" s="1450"/>
      <c r="R84" s="1450"/>
      <c r="S84" s="1450"/>
      <c r="T84" s="1450"/>
      <c r="U84" s="1450"/>
      <c r="V84" s="1450"/>
      <c r="W84" s="1450"/>
      <c r="X84" s="1450"/>
      <c r="Y84" s="1450"/>
      <c r="Z84" s="1450"/>
      <c r="AA84" s="1450"/>
      <c r="AB84" s="1450"/>
      <c r="AC84" s="1450"/>
      <c r="AD84" s="1450"/>
      <c r="AE84" s="1450"/>
      <c r="AF84" s="1450"/>
      <c r="AG84" s="1450"/>
      <c r="AH84" s="1450"/>
      <c r="AI84" s="1450"/>
      <c r="AJ84" s="1450"/>
      <c r="AK84" s="1450"/>
      <c r="AL84" s="1450"/>
      <c r="AM84" s="1450"/>
      <c r="AN84" s="1450"/>
      <c r="AO84" s="1450"/>
      <c r="AP84" s="1450"/>
      <c r="AQ84" s="1450"/>
      <c r="AR84" s="1450"/>
      <c r="AS84" s="1450"/>
      <c r="AT84" s="1450"/>
      <c r="AU84" s="1450"/>
      <c r="AV84" s="1450"/>
      <c r="AW84" s="1450"/>
      <c r="AX84" s="1450"/>
      <c r="AY84" s="1450"/>
      <c r="AZ84" s="1450"/>
      <c r="BA84" s="1450"/>
      <c r="BB84" s="1450"/>
      <c r="BC84" s="1450"/>
      <c r="BD84" s="1450"/>
      <c r="BE84" s="1456"/>
    </row>
    <row r="85" spans="1:57" ht="15.75" customHeight="1" thickBot="1">
      <c r="A85" s="1679"/>
      <c r="B85" s="1450"/>
      <c r="C85" s="1450"/>
      <c r="D85" s="1450"/>
      <c r="E85" s="1450"/>
      <c r="F85" s="1450"/>
      <c r="G85" s="1450"/>
      <c r="H85" s="1450"/>
      <c r="I85" s="1450"/>
      <c r="J85" s="1450"/>
      <c r="K85" s="1450"/>
      <c r="L85" s="1450"/>
      <c r="M85" s="1450"/>
      <c r="N85" s="1450"/>
      <c r="O85" s="1450"/>
      <c r="P85" s="1463"/>
      <c r="Q85" s="1450"/>
      <c r="R85" s="1450"/>
      <c r="S85" s="1450"/>
      <c r="T85" s="1450"/>
      <c r="U85" s="1450"/>
      <c r="V85" s="1450"/>
      <c r="W85" s="1450"/>
      <c r="X85" s="1450"/>
      <c r="Y85" s="1450"/>
      <c r="Z85" s="1450"/>
      <c r="AA85" s="1450"/>
      <c r="AB85" s="1450"/>
      <c r="AC85" s="1450"/>
      <c r="AD85" s="1450"/>
      <c r="AE85" s="1450"/>
      <c r="AF85" s="1450"/>
      <c r="AG85" s="1450"/>
      <c r="AH85" s="1450"/>
      <c r="AI85" s="1450"/>
      <c r="AJ85" s="1450"/>
      <c r="AK85" s="1450"/>
      <c r="AL85" s="1450"/>
      <c r="AM85" s="1450"/>
      <c r="AN85" s="1450"/>
      <c r="AO85" s="1450"/>
      <c r="AP85" s="1450"/>
      <c r="AQ85" s="1450"/>
      <c r="AR85" s="1450"/>
      <c r="AS85" s="1450"/>
      <c r="AT85" s="1450"/>
      <c r="AU85" s="1450"/>
      <c r="AV85" s="1450"/>
      <c r="AW85" s="1450"/>
      <c r="AX85" s="1450"/>
      <c r="AY85" s="1450"/>
      <c r="AZ85" s="1450"/>
      <c r="BA85" s="1450"/>
      <c r="BB85" s="1450"/>
      <c r="BC85" s="1450"/>
      <c r="BD85" s="1450"/>
      <c r="BE85" s="1456"/>
    </row>
    <row r="86" spans="1:57" ht="15.75" customHeight="1" thickBot="1">
      <c r="A86" s="1679"/>
      <c r="B86" s="2587" t="s">
        <v>2117</v>
      </c>
      <c r="C86" s="2588"/>
      <c r="D86" s="2588"/>
      <c r="E86" s="2588"/>
      <c r="F86" s="2588"/>
      <c r="G86" s="2588"/>
      <c r="H86" s="2588"/>
      <c r="I86" s="2588"/>
      <c r="J86" s="2588"/>
      <c r="K86" s="2588"/>
      <c r="L86" s="2588"/>
      <c r="M86" s="2588"/>
      <c r="N86" s="2588"/>
      <c r="O86" s="2588"/>
      <c r="P86" s="2588"/>
      <c r="Q86" s="2588"/>
      <c r="R86" s="2588"/>
      <c r="S86" s="2588"/>
      <c r="T86" s="2588"/>
      <c r="U86" s="2588"/>
      <c r="V86" s="2588"/>
      <c r="W86" s="2588"/>
      <c r="X86" s="2588"/>
      <c r="Y86" s="2588"/>
      <c r="Z86" s="2588"/>
      <c r="AA86" s="2588"/>
      <c r="AB86" s="2588"/>
      <c r="AC86" s="2588"/>
      <c r="AD86" s="2588"/>
      <c r="AE86" s="2588"/>
      <c r="AF86" s="2588"/>
      <c r="AG86" s="2588"/>
      <c r="AH86" s="2589"/>
      <c r="AI86" s="1450"/>
      <c r="AJ86" s="1450"/>
      <c r="AK86" s="1450"/>
      <c r="AL86" s="1450"/>
      <c r="AM86" s="1450"/>
      <c r="AN86" s="1450"/>
      <c r="AO86" s="1450"/>
      <c r="AP86" s="1450"/>
      <c r="AQ86" s="1450"/>
      <c r="AR86" s="1450"/>
      <c r="AS86" s="1450"/>
      <c r="AT86" s="1450"/>
      <c r="AU86" s="1450"/>
      <c r="AV86" s="1450"/>
      <c r="AW86" s="1450"/>
      <c r="AX86" s="1450"/>
      <c r="AY86" s="1450"/>
      <c r="AZ86" s="1450"/>
      <c r="BA86" s="1450"/>
      <c r="BB86" s="1450"/>
      <c r="BC86" s="1450"/>
      <c r="BD86" s="1450"/>
      <c r="BE86" s="1456"/>
    </row>
    <row r="87" spans="1:57" ht="15.75" customHeight="1" thickBot="1">
      <c r="A87" s="1679"/>
      <c r="B87" s="2581"/>
      <c r="C87" s="2582"/>
      <c r="D87" s="2582"/>
      <c r="E87" s="2582"/>
      <c r="F87" s="2582"/>
      <c r="G87" s="2582"/>
      <c r="H87" s="2583"/>
      <c r="I87" s="2671" t="s">
        <v>2110</v>
      </c>
      <c r="J87" s="2672"/>
      <c r="K87" s="2672"/>
      <c r="L87" s="2672"/>
      <c r="M87" s="2672"/>
      <c r="N87" s="2673"/>
      <c r="O87" s="2671" t="s">
        <v>2111</v>
      </c>
      <c r="P87" s="2672"/>
      <c r="Q87" s="2672"/>
      <c r="R87" s="2672"/>
      <c r="S87" s="2672"/>
      <c r="T87" s="2672"/>
      <c r="U87" s="2673"/>
      <c r="V87" s="2671" t="s">
        <v>2112</v>
      </c>
      <c r="W87" s="2672"/>
      <c r="X87" s="2672"/>
      <c r="Y87" s="2672"/>
      <c r="Z87" s="2672"/>
      <c r="AA87" s="2673"/>
      <c r="AB87" s="2684" t="s">
        <v>2113</v>
      </c>
      <c r="AC87" s="2685"/>
      <c r="AD87" s="2685"/>
      <c r="AE87" s="2685"/>
      <c r="AF87" s="2685"/>
      <c r="AG87" s="2685"/>
      <c r="AH87" s="2686"/>
      <c r="AI87" s="1450"/>
      <c r="AJ87" s="1450"/>
      <c r="AK87" s="1450"/>
      <c r="AL87" s="1450"/>
      <c r="AM87" s="1450"/>
      <c r="AN87" s="1450"/>
      <c r="AO87" s="1450"/>
      <c r="AP87" s="1450"/>
      <c r="AQ87" s="1450"/>
      <c r="AR87" s="1450"/>
      <c r="AS87" s="1450"/>
      <c r="AT87" s="1450"/>
      <c r="AU87" s="1450"/>
      <c r="AV87" s="1450"/>
      <c r="AW87" s="1450"/>
      <c r="AX87" s="1450"/>
      <c r="AY87" s="1450"/>
      <c r="AZ87" s="1450"/>
      <c r="BA87" s="1450"/>
      <c r="BB87" s="1450"/>
      <c r="BC87" s="1450"/>
      <c r="BD87" s="1450"/>
      <c r="BE87" s="1456"/>
    </row>
    <row r="88" spans="1:57" ht="15.75" customHeight="1" thickBot="1">
      <c r="A88" s="1679"/>
      <c r="B88" s="2671" t="s">
        <v>2114</v>
      </c>
      <c r="C88" s="2672"/>
      <c r="D88" s="2672"/>
      <c r="E88" s="2672"/>
      <c r="F88" s="2672"/>
      <c r="G88" s="2672"/>
      <c r="H88" s="2673"/>
      <c r="I88" s="2674"/>
      <c r="J88" s="2675"/>
      <c r="K88" s="2675"/>
      <c r="L88" s="2675"/>
      <c r="M88" s="2675"/>
      <c r="N88" s="2675"/>
      <c r="O88" s="2675"/>
      <c r="P88" s="2675"/>
      <c r="Q88" s="2675"/>
      <c r="R88" s="2675"/>
      <c r="S88" s="2675"/>
      <c r="T88" s="2675"/>
      <c r="U88" s="2675"/>
      <c r="V88" s="2675"/>
      <c r="W88" s="2675"/>
      <c r="X88" s="2675"/>
      <c r="Y88" s="2675"/>
      <c r="Z88" s="2675"/>
      <c r="AA88" s="2687"/>
      <c r="AB88" s="2677"/>
      <c r="AC88" s="2677"/>
      <c r="AD88" s="2677"/>
      <c r="AE88" s="2677"/>
      <c r="AF88" s="2677"/>
      <c r="AG88" s="2677"/>
      <c r="AH88" s="2678"/>
      <c r="AI88" s="1450"/>
      <c r="AJ88" s="1450"/>
      <c r="AK88" s="1450"/>
      <c r="AL88" s="1450"/>
      <c r="AM88" s="1450"/>
      <c r="AN88" s="1450"/>
      <c r="AO88" s="1450"/>
      <c r="AP88" s="1450"/>
      <c r="AQ88" s="1450"/>
      <c r="AR88" s="1450"/>
      <c r="AS88" s="1450"/>
      <c r="AT88" s="1450"/>
      <c r="AU88" s="1450"/>
      <c r="AV88" s="1450"/>
      <c r="AW88" s="1450"/>
      <c r="AX88" s="1450"/>
      <c r="AY88" s="1450"/>
      <c r="AZ88" s="1450"/>
      <c r="BA88" s="1450"/>
      <c r="BB88" s="1450"/>
      <c r="BC88" s="1450"/>
      <c r="BD88" s="1450"/>
      <c r="BE88" s="1456"/>
    </row>
    <row r="89" spans="1:57" ht="15.75" customHeight="1" thickBot="1">
      <c r="A89" s="1679"/>
      <c r="B89" s="2671" t="s">
        <v>2115</v>
      </c>
      <c r="C89" s="2672"/>
      <c r="D89" s="2672"/>
      <c r="E89" s="2672"/>
      <c r="F89" s="2672"/>
      <c r="G89" s="2672"/>
      <c r="H89" s="2673"/>
      <c r="I89" s="2679"/>
      <c r="J89" s="2680"/>
      <c r="K89" s="2680"/>
      <c r="L89" s="2680"/>
      <c r="M89" s="2680"/>
      <c r="N89" s="2680"/>
      <c r="O89" s="2680"/>
      <c r="P89" s="2680"/>
      <c r="Q89" s="2680"/>
      <c r="R89" s="2680"/>
      <c r="S89" s="2680"/>
      <c r="T89" s="2680"/>
      <c r="U89" s="2680"/>
      <c r="V89" s="2680"/>
      <c r="W89" s="2680"/>
      <c r="X89" s="2680"/>
      <c r="Y89" s="2680"/>
      <c r="Z89" s="2680"/>
      <c r="AA89" s="2688"/>
      <c r="AB89" s="2682"/>
      <c r="AC89" s="2682"/>
      <c r="AD89" s="2682"/>
      <c r="AE89" s="2682"/>
      <c r="AF89" s="2682"/>
      <c r="AG89" s="2682"/>
      <c r="AH89" s="2683"/>
      <c r="AI89" s="1450"/>
      <c r="AJ89" s="1450"/>
      <c r="AK89" s="1450"/>
      <c r="AL89" s="1450"/>
      <c r="AM89" s="1450"/>
      <c r="AN89" s="1450"/>
      <c r="AO89" s="1450"/>
      <c r="AP89" s="1450"/>
      <c r="AQ89" s="1450"/>
      <c r="AR89" s="1450"/>
      <c r="AS89" s="1450"/>
      <c r="AT89" s="1450"/>
      <c r="AU89" s="1450"/>
      <c r="AV89" s="1450"/>
      <c r="AW89" s="1450"/>
      <c r="AX89" s="1450"/>
      <c r="AY89" s="1450"/>
      <c r="AZ89" s="1450"/>
      <c r="BA89" s="1450"/>
      <c r="BB89" s="1450"/>
      <c r="BC89" s="1450"/>
      <c r="BD89" s="1450"/>
      <c r="BE89" s="1456"/>
    </row>
    <row r="90" spans="1:57" ht="15.75" customHeight="1">
      <c r="A90" s="1679"/>
      <c r="B90" s="1450"/>
      <c r="C90" s="1450"/>
      <c r="D90" s="1450"/>
      <c r="E90" s="1450"/>
      <c r="F90" s="1450"/>
      <c r="G90" s="1450"/>
      <c r="H90" s="1450"/>
      <c r="I90" s="1450"/>
      <c r="J90" s="1450"/>
      <c r="K90" s="1450"/>
      <c r="L90" s="1450"/>
      <c r="M90" s="1450"/>
      <c r="N90" s="1450"/>
      <c r="O90" s="1450"/>
      <c r="P90" s="1450"/>
      <c r="Q90" s="1450"/>
      <c r="R90" s="1450"/>
      <c r="S90" s="1450"/>
      <c r="T90" s="1450"/>
      <c r="U90" s="1450"/>
      <c r="V90" s="1450"/>
      <c r="W90" s="1450"/>
      <c r="X90" s="1450"/>
      <c r="Y90" s="1450"/>
      <c r="Z90" s="1450"/>
      <c r="AA90" s="1450"/>
      <c r="AB90" s="1450"/>
      <c r="AC90" s="1450"/>
      <c r="AD90" s="1450"/>
      <c r="AE90" s="1450"/>
      <c r="AF90" s="1450"/>
      <c r="AG90" s="1450"/>
      <c r="AH90" s="1450"/>
      <c r="AI90" s="1450"/>
      <c r="AJ90" s="1450"/>
      <c r="AK90" s="1450"/>
      <c r="AL90" s="1450"/>
      <c r="AM90" s="1450"/>
      <c r="AN90" s="1450"/>
      <c r="AO90" s="1450"/>
      <c r="AP90" s="1450"/>
      <c r="AQ90" s="1450"/>
      <c r="AR90" s="1450"/>
      <c r="AS90" s="1450"/>
      <c r="AT90" s="1450"/>
      <c r="AU90" s="1450"/>
      <c r="AV90" s="1450"/>
      <c r="AW90" s="1450"/>
      <c r="AX90" s="1450"/>
      <c r="AY90" s="1450"/>
      <c r="AZ90" s="1450"/>
      <c r="BA90" s="1450"/>
      <c r="BB90" s="1450"/>
      <c r="BC90" s="1450"/>
      <c r="BD90" s="1450"/>
      <c r="BE90" s="1456"/>
    </row>
    <row r="91" spans="1:57" ht="15.75" customHeight="1">
      <c r="A91" s="1679"/>
      <c r="B91" s="1460" t="s">
        <v>2118</v>
      </c>
      <c r="R91" s="1450"/>
      <c r="S91" s="1450"/>
      <c r="T91" s="1450"/>
      <c r="U91" s="1450"/>
      <c r="V91" s="1450"/>
      <c r="W91" s="1450"/>
      <c r="X91" s="1450"/>
      <c r="Y91" s="1450"/>
      <c r="Z91" s="1450"/>
      <c r="AA91" s="1450"/>
      <c r="AB91" s="1450"/>
      <c r="AC91" s="1450"/>
      <c r="AD91" s="1450"/>
      <c r="AE91" s="1450"/>
      <c r="AF91" s="1450"/>
      <c r="AG91" s="1450"/>
      <c r="AH91" s="1450"/>
      <c r="AI91" s="1450"/>
      <c r="AJ91" s="1450"/>
      <c r="AK91" s="1450"/>
      <c r="AL91" s="1450"/>
      <c r="AM91" s="1450"/>
      <c r="AN91" s="1450"/>
      <c r="AO91" s="1450"/>
      <c r="AP91" s="1450"/>
      <c r="AQ91" s="1450"/>
      <c r="AR91" s="1450"/>
      <c r="AS91" s="1450"/>
      <c r="AT91" s="1450"/>
      <c r="AU91" s="1450"/>
      <c r="AV91" s="1450"/>
      <c r="AW91" s="1450"/>
      <c r="AX91" s="1450"/>
      <c r="AY91" s="1450"/>
      <c r="AZ91" s="1450"/>
      <c r="BA91" s="1450"/>
      <c r="BB91" s="1450"/>
      <c r="BC91" s="1450"/>
      <c r="BD91" s="1450"/>
      <c r="BE91" s="1456"/>
    </row>
    <row r="92" spans="1:57" ht="15.75" customHeight="1" thickBot="1">
      <c r="A92" s="1679"/>
      <c r="B92" s="1450"/>
      <c r="C92" s="1450"/>
      <c r="D92" s="1450"/>
      <c r="E92" s="1450"/>
      <c r="F92" s="1450"/>
      <c r="G92" s="1450"/>
      <c r="H92" s="1450"/>
      <c r="I92" s="1450"/>
      <c r="J92" s="1450"/>
      <c r="K92" s="1450"/>
      <c r="L92" s="1450"/>
      <c r="M92" s="1450"/>
      <c r="N92" s="1450"/>
      <c r="O92" s="1450"/>
      <c r="P92" s="1463"/>
      <c r="Q92" s="1450"/>
      <c r="R92" s="1450"/>
      <c r="S92" s="1450"/>
      <c r="T92" s="1450"/>
      <c r="U92" s="1450"/>
      <c r="V92" s="1450"/>
      <c r="W92" s="1450"/>
      <c r="X92" s="1450"/>
      <c r="Y92" s="1450"/>
      <c r="Z92" s="1450"/>
      <c r="AA92" s="1450"/>
      <c r="AB92" s="1450"/>
      <c r="AC92" s="1450"/>
      <c r="AD92" s="1450"/>
      <c r="AE92" s="1450"/>
      <c r="AF92" s="1450"/>
      <c r="AG92" s="1450"/>
      <c r="AH92" s="1450"/>
      <c r="AI92" s="1450"/>
      <c r="AJ92" s="1450"/>
      <c r="AK92" s="1450"/>
      <c r="AL92" s="1450"/>
      <c r="AM92" s="1450"/>
      <c r="AN92" s="1450"/>
      <c r="AO92" s="1450"/>
      <c r="AP92" s="1450"/>
      <c r="AQ92" s="1450"/>
      <c r="AR92" s="1450"/>
      <c r="AS92" s="1450"/>
      <c r="AT92" s="1450"/>
      <c r="AU92" s="1450"/>
      <c r="AV92" s="1450"/>
      <c r="AW92" s="1450"/>
      <c r="AX92" s="1450"/>
      <c r="AY92" s="1450"/>
      <c r="AZ92" s="1450"/>
      <c r="BA92" s="1450"/>
      <c r="BB92" s="1450"/>
      <c r="BC92" s="1450"/>
      <c r="BD92" s="1450"/>
      <c r="BE92" s="1456"/>
    </row>
    <row r="93" spans="1:57" ht="15.75" customHeight="1" thickBot="1">
      <c r="A93" s="1679"/>
      <c r="B93" s="2581" t="s">
        <v>2119</v>
      </c>
      <c r="C93" s="2582"/>
      <c r="D93" s="2582"/>
      <c r="E93" s="2582"/>
      <c r="F93" s="2582"/>
      <c r="G93" s="2582"/>
      <c r="H93" s="2582"/>
      <c r="I93" s="2582"/>
      <c r="J93" s="2582"/>
      <c r="K93" s="2582"/>
      <c r="L93" s="2582"/>
      <c r="M93" s="2582"/>
      <c r="N93" s="2582"/>
      <c r="O93" s="2582"/>
      <c r="P93" s="2582"/>
      <c r="Q93" s="2582"/>
      <c r="R93" s="2582"/>
      <c r="S93" s="2582"/>
      <c r="T93" s="2582"/>
      <c r="U93" s="2582"/>
      <c r="V93" s="2582"/>
      <c r="W93" s="2582"/>
      <c r="X93" s="2582"/>
      <c r="Y93" s="2582"/>
      <c r="Z93" s="2582"/>
      <c r="AA93" s="2582"/>
      <c r="AB93" s="2582"/>
      <c r="AC93" s="2582"/>
      <c r="AD93" s="2582"/>
      <c r="AE93" s="2582"/>
      <c r="AF93" s="2582"/>
      <c r="AG93" s="2582"/>
      <c r="AH93" s="2583"/>
      <c r="AI93" s="1450"/>
      <c r="AJ93" s="1450"/>
      <c r="AK93" s="1450"/>
      <c r="AL93" s="1450"/>
      <c r="AM93" s="1450"/>
      <c r="AN93" s="1450"/>
      <c r="AO93" s="1450"/>
      <c r="AP93" s="1450"/>
      <c r="AQ93" s="1450"/>
      <c r="AR93" s="1450"/>
      <c r="AS93" s="1450"/>
      <c r="AT93" s="1450"/>
      <c r="AU93" s="1450"/>
      <c r="AV93" s="1450"/>
      <c r="AW93" s="1450"/>
      <c r="AX93" s="1450"/>
      <c r="AY93" s="1450"/>
      <c r="AZ93" s="1450"/>
      <c r="BA93" s="1450"/>
      <c r="BB93" s="1450"/>
      <c r="BC93" s="1450"/>
      <c r="BD93" s="1450"/>
      <c r="BE93" s="1456"/>
    </row>
    <row r="94" spans="1:57" ht="15.75" customHeight="1" thickBot="1">
      <c r="A94" s="1679"/>
      <c r="B94" s="2581"/>
      <c r="C94" s="2582"/>
      <c r="D94" s="2582"/>
      <c r="E94" s="2582"/>
      <c r="F94" s="2582"/>
      <c r="G94" s="2582"/>
      <c r="H94" s="2583"/>
      <c r="I94" s="2671" t="s">
        <v>2110</v>
      </c>
      <c r="J94" s="2672"/>
      <c r="K94" s="2672"/>
      <c r="L94" s="2672"/>
      <c r="M94" s="2672"/>
      <c r="N94" s="2673"/>
      <c r="O94" s="2671" t="s">
        <v>2111</v>
      </c>
      <c r="P94" s="2672"/>
      <c r="Q94" s="2672"/>
      <c r="R94" s="2672"/>
      <c r="S94" s="2672"/>
      <c r="T94" s="2672"/>
      <c r="U94" s="2673"/>
      <c r="V94" s="2671" t="s">
        <v>2112</v>
      </c>
      <c r="W94" s="2672"/>
      <c r="X94" s="2672"/>
      <c r="Y94" s="2672"/>
      <c r="Z94" s="2672"/>
      <c r="AA94" s="2673"/>
      <c r="AB94" s="2684" t="s">
        <v>2113</v>
      </c>
      <c r="AC94" s="2685"/>
      <c r="AD94" s="2685"/>
      <c r="AE94" s="2685"/>
      <c r="AF94" s="2685"/>
      <c r="AG94" s="2685"/>
      <c r="AH94" s="2686"/>
      <c r="AI94" s="1450"/>
      <c r="AJ94" s="1450"/>
      <c r="AK94" s="1450"/>
      <c r="AL94" s="1450" t="s">
        <v>258</v>
      </c>
      <c r="AM94" s="1450"/>
      <c r="AN94" s="1450"/>
      <c r="AO94" s="1450"/>
      <c r="AP94" s="1450"/>
      <c r="AQ94" s="1450"/>
      <c r="AR94" s="1450"/>
      <c r="AS94" s="1450"/>
      <c r="AT94" s="1450"/>
      <c r="AU94" s="1450"/>
      <c r="AV94" s="1450"/>
      <c r="AW94" s="1450"/>
      <c r="AX94" s="1450"/>
      <c r="AY94" s="1450"/>
      <c r="AZ94" s="1450"/>
      <c r="BA94" s="1450"/>
      <c r="BB94" s="1450"/>
      <c r="BC94" s="1450"/>
      <c r="BD94" s="1450"/>
      <c r="BE94" s="1456"/>
    </row>
    <row r="95" spans="1:57" ht="15.75" customHeight="1" thickBot="1">
      <c r="A95" s="1679"/>
      <c r="B95" s="2671" t="s">
        <v>2114</v>
      </c>
      <c r="C95" s="2672"/>
      <c r="D95" s="2672"/>
      <c r="E95" s="2672"/>
      <c r="F95" s="2672"/>
      <c r="G95" s="2672"/>
      <c r="H95" s="2673"/>
      <c r="I95" s="2674"/>
      <c r="J95" s="2675"/>
      <c r="K95" s="2675"/>
      <c r="L95" s="2675"/>
      <c r="M95" s="2675"/>
      <c r="N95" s="2675"/>
      <c r="O95" s="2675"/>
      <c r="P95" s="2675"/>
      <c r="Q95" s="2675"/>
      <c r="R95" s="2675"/>
      <c r="S95" s="2675"/>
      <c r="T95" s="2675"/>
      <c r="U95" s="2675"/>
      <c r="V95" s="2675"/>
      <c r="W95" s="2675"/>
      <c r="X95" s="2675"/>
      <c r="Y95" s="2675"/>
      <c r="Z95" s="2675"/>
      <c r="AA95" s="2676"/>
      <c r="AB95" s="2677"/>
      <c r="AC95" s="2677"/>
      <c r="AD95" s="2677"/>
      <c r="AE95" s="2677"/>
      <c r="AF95" s="2677"/>
      <c r="AG95" s="2677"/>
      <c r="AH95" s="2678"/>
      <c r="AI95" s="1450"/>
      <c r="AJ95" s="1450"/>
      <c r="AK95" s="1450"/>
      <c r="AL95" s="1450"/>
      <c r="AM95" s="1450"/>
      <c r="AN95" s="1450"/>
      <c r="AO95" s="1450"/>
      <c r="AP95" s="1450"/>
      <c r="AQ95" s="1450"/>
      <c r="AR95" s="1450"/>
      <c r="AS95" s="1450"/>
      <c r="AT95" s="1450"/>
      <c r="AU95" s="1450"/>
      <c r="AV95" s="1450"/>
      <c r="AW95" s="1450"/>
      <c r="AX95" s="1450"/>
      <c r="AY95" s="1450"/>
      <c r="AZ95" s="1450"/>
      <c r="BA95" s="1450"/>
      <c r="BB95" s="1450"/>
      <c r="BC95" s="1450"/>
      <c r="BD95" s="1450"/>
      <c r="BE95" s="1456"/>
    </row>
    <row r="96" spans="1:57" ht="15.75" customHeight="1" thickBot="1">
      <c r="A96" s="1679"/>
      <c r="B96" s="2671" t="s">
        <v>2115</v>
      </c>
      <c r="C96" s="2672"/>
      <c r="D96" s="2672"/>
      <c r="E96" s="2672"/>
      <c r="F96" s="2672"/>
      <c r="G96" s="2672"/>
      <c r="H96" s="2673"/>
      <c r="I96" s="2679"/>
      <c r="J96" s="2680"/>
      <c r="K96" s="2680"/>
      <c r="L96" s="2680"/>
      <c r="M96" s="2680"/>
      <c r="N96" s="2680"/>
      <c r="O96" s="2680"/>
      <c r="P96" s="2680"/>
      <c r="Q96" s="2680"/>
      <c r="R96" s="2680"/>
      <c r="S96" s="2680"/>
      <c r="T96" s="2680"/>
      <c r="U96" s="2680"/>
      <c r="V96" s="2680"/>
      <c r="W96" s="2680"/>
      <c r="X96" s="2680"/>
      <c r="Y96" s="2680"/>
      <c r="Z96" s="2680"/>
      <c r="AA96" s="2681"/>
      <c r="AB96" s="2682"/>
      <c r="AC96" s="2682"/>
      <c r="AD96" s="2682"/>
      <c r="AE96" s="2682"/>
      <c r="AF96" s="2682"/>
      <c r="AG96" s="2682"/>
      <c r="AH96" s="2683"/>
      <c r="AI96" s="1450"/>
      <c r="AJ96" s="1450"/>
      <c r="AK96" s="1450"/>
      <c r="AL96" s="1450"/>
      <c r="AM96" s="1450"/>
      <c r="AN96" s="1450"/>
      <c r="AO96" s="1450"/>
      <c r="AP96" s="1450"/>
      <c r="AQ96" s="1450"/>
      <c r="AR96" s="1450"/>
      <c r="AS96" s="1450"/>
      <c r="AT96" s="1450"/>
      <c r="AU96" s="1450"/>
      <c r="AV96" s="1450"/>
      <c r="AW96" s="1450"/>
      <c r="AX96" s="1450"/>
      <c r="AY96" s="1450"/>
      <c r="AZ96" s="1450"/>
      <c r="BA96" s="1450"/>
      <c r="BB96" s="1450"/>
      <c r="BC96" s="1450"/>
      <c r="BD96" s="1450"/>
      <c r="BE96" s="1456"/>
    </row>
    <row r="97" spans="1:57" ht="15.75" customHeight="1">
      <c r="A97" s="1679"/>
      <c r="B97" s="1450"/>
      <c r="C97" s="1450"/>
      <c r="D97" s="1450"/>
      <c r="E97" s="1450"/>
      <c r="F97" s="1450"/>
      <c r="G97" s="1450"/>
      <c r="H97" s="1450"/>
      <c r="I97" s="1450"/>
      <c r="J97" s="1450"/>
      <c r="K97" s="1450"/>
      <c r="L97" s="1450"/>
      <c r="M97" s="1450"/>
      <c r="N97" s="1450"/>
      <c r="O97" s="1450"/>
      <c r="P97" s="1450"/>
      <c r="Q97" s="1450"/>
      <c r="R97" s="1450"/>
      <c r="S97" s="1450"/>
      <c r="T97" s="1450"/>
      <c r="U97" s="1450"/>
      <c r="V97" s="1450"/>
      <c r="W97" s="1450"/>
      <c r="X97" s="1450"/>
      <c r="Y97" s="1450"/>
      <c r="Z97" s="1450"/>
      <c r="AA97" s="1450"/>
      <c r="AB97" s="1450"/>
      <c r="AC97" s="1450"/>
      <c r="AD97" s="1450"/>
      <c r="AE97" s="1450"/>
      <c r="AF97" s="1450"/>
      <c r="AG97" s="1450"/>
      <c r="AH97" s="1450"/>
      <c r="AI97" s="1450"/>
      <c r="AJ97" s="1450"/>
      <c r="AK97" s="1450"/>
      <c r="AL97" s="1450"/>
      <c r="AM97" s="1450"/>
      <c r="AN97" s="1450"/>
      <c r="AO97" s="1450"/>
      <c r="AP97" s="1450"/>
      <c r="AQ97" s="1450"/>
      <c r="AR97" s="1450"/>
      <c r="AS97" s="1450"/>
      <c r="AT97" s="1450"/>
      <c r="AU97" s="1450"/>
      <c r="AV97" s="1450"/>
      <c r="AW97" s="1450"/>
      <c r="AX97" s="1450"/>
      <c r="AY97" s="1450"/>
      <c r="AZ97" s="1450"/>
      <c r="BA97" s="1450"/>
      <c r="BB97" s="1450"/>
      <c r="BC97" s="1450"/>
      <c r="BD97" s="1450"/>
      <c r="BE97" s="1456"/>
    </row>
    <row r="98" spans="1:57" ht="15.75" customHeight="1">
      <c r="A98" s="1679"/>
      <c r="B98" s="1461" t="s">
        <v>2120</v>
      </c>
      <c r="C98" s="1461"/>
      <c r="D98" s="1461"/>
      <c r="E98" s="1461"/>
      <c r="F98" s="1461"/>
      <c r="G98" s="1461"/>
      <c r="H98" s="1461"/>
      <c r="I98" s="1461"/>
      <c r="J98" s="1461"/>
      <c r="K98" s="1461"/>
      <c r="L98" s="1461"/>
      <c r="M98" s="1461"/>
      <c r="N98" s="1461"/>
      <c r="O98" s="1461"/>
      <c r="P98" s="1461"/>
      <c r="Q98" s="1457"/>
      <c r="R98" s="1457"/>
      <c r="S98" s="1450"/>
      <c r="T98" s="1450"/>
      <c r="U98" s="1450"/>
      <c r="V98" s="1450"/>
      <c r="W98" s="1450"/>
      <c r="X98" s="1450"/>
      <c r="Y98" s="1450"/>
      <c r="Z98" s="1450"/>
      <c r="AA98" s="1450"/>
      <c r="AB98" s="1450"/>
      <c r="AC98" s="1450"/>
      <c r="AD98" s="1450"/>
      <c r="AE98" s="1450"/>
      <c r="AF98" s="1450"/>
      <c r="AG98" s="1450"/>
      <c r="AH98" s="1450"/>
      <c r="AI98" s="1450"/>
      <c r="AJ98" s="1450"/>
      <c r="AK98" s="1450"/>
      <c r="AL98" s="1450"/>
      <c r="AM98" s="1450"/>
      <c r="AN98" s="1450"/>
      <c r="AO98" s="1450"/>
      <c r="AP98" s="1450"/>
      <c r="AQ98" s="1450"/>
      <c r="AR98" s="1450"/>
      <c r="AS98" s="1450"/>
      <c r="AT98" s="1450"/>
      <c r="AU98" s="1450"/>
      <c r="AV98" s="1450"/>
      <c r="AW98" s="1450"/>
      <c r="AX98" s="1450"/>
      <c r="AY98" s="1450"/>
      <c r="AZ98" s="1450"/>
      <c r="BA98" s="1450"/>
      <c r="BB98" s="1450"/>
      <c r="BC98" s="1450"/>
      <c r="BD98" s="1450"/>
      <c r="BE98" s="1456"/>
    </row>
    <row r="99" spans="1:57" ht="15.75" customHeight="1" thickBot="1">
      <c r="A99" s="1679"/>
      <c r="B99" s="1450"/>
      <c r="C99" s="1450"/>
      <c r="D99" s="1450"/>
      <c r="E99" s="1450"/>
      <c r="F99" s="1450"/>
      <c r="G99" s="1450"/>
      <c r="H99" s="1450"/>
      <c r="I99" s="1450"/>
      <c r="J99" s="1450"/>
      <c r="K99" s="1450"/>
      <c r="L99" s="1450"/>
      <c r="M99" s="1450"/>
      <c r="N99" s="1450"/>
      <c r="O99" s="1450"/>
      <c r="P99" s="1450"/>
      <c r="Q99" s="1450"/>
      <c r="R99" s="1450"/>
      <c r="S99" s="1450"/>
      <c r="T99" s="1450"/>
      <c r="U99" s="1450"/>
      <c r="V99" s="1450"/>
      <c r="W99" s="1450"/>
      <c r="X99" s="1450"/>
      <c r="Y99" s="1450"/>
      <c r="Z99" s="1450"/>
      <c r="AA99" s="1450"/>
      <c r="AB99" s="1450"/>
      <c r="AC99" s="1450"/>
      <c r="AD99" s="1450"/>
      <c r="AE99" s="1450"/>
      <c r="AF99" s="1450"/>
      <c r="AG99" s="1450"/>
      <c r="AH99" s="1450"/>
      <c r="AI99" s="1450"/>
      <c r="AJ99" s="1450"/>
      <c r="AK99" s="1450"/>
      <c r="AL99" s="1450"/>
      <c r="AM99" s="1450"/>
      <c r="AN99" s="1450"/>
      <c r="AO99" s="1450"/>
      <c r="AP99" s="1450"/>
      <c r="AQ99" s="1450"/>
      <c r="AR99" s="1450"/>
      <c r="AS99" s="1450"/>
      <c r="AT99" s="1450"/>
      <c r="AU99" s="1450"/>
      <c r="AV99" s="1450"/>
      <c r="AW99" s="1450"/>
      <c r="AX99" s="1450"/>
      <c r="AY99" s="1450"/>
      <c r="AZ99" s="1450"/>
      <c r="BA99" s="1450"/>
      <c r="BB99" s="1450"/>
      <c r="BC99" s="1450"/>
      <c r="BD99" s="1450"/>
      <c r="BE99" s="1456"/>
    </row>
    <row r="100" spans="1:57" ht="15.75" customHeight="1">
      <c r="A100" s="1679"/>
      <c r="B100" s="2650" t="s">
        <v>2121</v>
      </c>
      <c r="C100" s="2651"/>
      <c r="D100" s="2651"/>
      <c r="E100" s="2651"/>
      <c r="F100" s="2651"/>
      <c r="G100" s="2651"/>
      <c r="H100" s="2651"/>
      <c r="I100" s="2651"/>
      <c r="J100" s="2651"/>
      <c r="K100" s="2651"/>
      <c r="L100" s="2651"/>
      <c r="M100" s="2651"/>
      <c r="N100" s="2651"/>
      <c r="O100" s="2651"/>
      <c r="P100" s="2651"/>
      <c r="Q100" s="2651"/>
      <c r="R100" s="2651"/>
      <c r="S100" s="2651"/>
      <c r="T100" s="2651"/>
      <c r="U100" s="2652"/>
      <c r="V100" s="1450"/>
      <c r="W100" s="1450"/>
      <c r="X100" s="1450"/>
      <c r="Y100" s="1450"/>
      <c r="Z100" s="1450"/>
      <c r="AA100" s="1450"/>
      <c r="AB100" s="1450"/>
      <c r="AC100" s="1450"/>
      <c r="AD100" s="1450"/>
      <c r="AE100" s="1450"/>
      <c r="AF100" s="1450"/>
      <c r="AG100" s="1450"/>
      <c r="AH100" s="1450"/>
      <c r="AI100" s="1450"/>
      <c r="AJ100" s="1450"/>
      <c r="AK100" s="1450"/>
      <c r="AL100" s="1450"/>
      <c r="AM100" s="1450"/>
      <c r="AN100" s="1450"/>
      <c r="AO100" s="1450"/>
      <c r="AP100" s="1450"/>
      <c r="AQ100" s="1450"/>
      <c r="AR100" s="1450"/>
      <c r="AS100" s="1450"/>
      <c r="AT100" s="1450"/>
      <c r="AU100" s="1450"/>
      <c r="AV100" s="1450"/>
      <c r="AW100" s="1450"/>
      <c r="AX100" s="1450"/>
      <c r="AY100" s="1450"/>
      <c r="AZ100" s="1450"/>
      <c r="BA100" s="1450"/>
      <c r="BB100" s="1450"/>
      <c r="BC100" s="1450"/>
      <c r="BD100" s="1450"/>
      <c r="BE100" s="1456"/>
    </row>
    <row r="101" spans="1:57" ht="15.75" customHeight="1">
      <c r="A101" s="1679"/>
      <c r="B101" s="2653"/>
      <c r="C101" s="2654"/>
      <c r="D101" s="2654"/>
      <c r="E101" s="2654"/>
      <c r="F101" s="2654"/>
      <c r="G101" s="2654"/>
      <c r="H101" s="2655"/>
      <c r="I101" s="2656" t="s">
        <v>2111</v>
      </c>
      <c r="J101" s="2555"/>
      <c r="K101" s="2555"/>
      <c r="L101" s="2555"/>
      <c r="M101" s="2555"/>
      <c r="N101" s="2555"/>
      <c r="O101" s="2657"/>
      <c r="P101" s="2656" t="s">
        <v>2122</v>
      </c>
      <c r="Q101" s="2555"/>
      <c r="R101" s="2555"/>
      <c r="S101" s="2555"/>
      <c r="T101" s="2555"/>
      <c r="U101" s="2657"/>
      <c r="V101" s="1450"/>
      <c r="W101" s="1450"/>
      <c r="X101" s="1450"/>
      <c r="Y101" s="1450"/>
      <c r="Z101" s="1450"/>
      <c r="AA101" s="1450"/>
      <c r="AB101" s="1450" t="s">
        <v>258</v>
      </c>
      <c r="AC101" s="1450"/>
      <c r="AD101" s="1450"/>
      <c r="AE101" s="1450"/>
      <c r="AF101" s="1450"/>
      <c r="AG101" s="1450"/>
      <c r="AH101" s="1450"/>
      <c r="AI101" s="1450"/>
      <c r="AJ101" s="1450"/>
      <c r="AK101" s="1450"/>
      <c r="AL101" s="1450"/>
      <c r="AM101" s="1450"/>
      <c r="AN101" s="1450"/>
      <c r="AO101" s="1450"/>
      <c r="AP101" s="1450"/>
      <c r="AQ101" s="1450"/>
      <c r="AR101" s="1450"/>
      <c r="AS101" s="1450"/>
      <c r="AT101" s="1450"/>
      <c r="AU101" s="1450"/>
      <c r="AV101" s="1450"/>
      <c r="AW101" s="1450"/>
      <c r="AX101" s="1450"/>
      <c r="AY101" s="1450"/>
      <c r="AZ101" s="1450"/>
      <c r="BA101" s="1450"/>
      <c r="BB101" s="1450"/>
      <c r="BC101" s="1450"/>
      <c r="BD101" s="1450"/>
      <c r="BE101" s="1456"/>
    </row>
    <row r="102" spans="1:57" ht="15.75" customHeight="1">
      <c r="A102" s="1679"/>
      <c r="B102" s="2658" t="s">
        <v>2114</v>
      </c>
      <c r="C102" s="2659"/>
      <c r="D102" s="2659"/>
      <c r="E102" s="2659"/>
      <c r="F102" s="2659"/>
      <c r="G102" s="2659"/>
      <c r="H102" s="2659"/>
      <c r="I102" s="2627"/>
      <c r="J102" s="2628"/>
      <c r="K102" s="2628"/>
      <c r="L102" s="2628"/>
      <c r="M102" s="2628"/>
      <c r="N102" s="2628"/>
      <c r="O102" s="2629"/>
      <c r="P102" s="2627"/>
      <c r="Q102" s="2628"/>
      <c r="R102" s="2628"/>
      <c r="S102" s="2628"/>
      <c r="T102" s="2628"/>
      <c r="U102" s="2629"/>
      <c r="V102" s="1450"/>
      <c r="W102" s="1450"/>
      <c r="X102" s="1450"/>
      <c r="Y102" s="1450"/>
      <c r="Z102" s="1450"/>
      <c r="AA102" s="1450"/>
      <c r="AB102" s="1450"/>
      <c r="AC102" s="1450"/>
      <c r="AD102" s="1450"/>
      <c r="AE102" s="1450"/>
      <c r="AF102" s="1450"/>
      <c r="AG102" s="1450"/>
      <c r="AH102" s="1450"/>
      <c r="AI102" s="1450"/>
      <c r="AJ102" s="1450"/>
      <c r="AK102" s="1450"/>
      <c r="AL102" s="1450"/>
      <c r="AM102" s="1450"/>
      <c r="AN102" s="1450"/>
      <c r="AO102" s="1450"/>
      <c r="AP102" s="1450"/>
      <c r="AQ102" s="1450"/>
      <c r="AR102" s="1450"/>
      <c r="AS102" s="1450"/>
      <c r="AT102" s="1450"/>
      <c r="AU102" s="1450"/>
      <c r="AV102" s="1450"/>
      <c r="AW102" s="1450"/>
      <c r="AX102" s="1450"/>
      <c r="AY102" s="1450"/>
      <c r="AZ102" s="1450"/>
      <c r="BA102" s="1450"/>
      <c r="BB102" s="1450"/>
      <c r="BC102" s="1450"/>
      <c r="BD102" s="1450"/>
      <c r="BE102" s="1456"/>
    </row>
    <row r="103" spans="1:57" ht="15.75" customHeight="1" thickBot="1">
      <c r="A103" s="1679"/>
      <c r="B103" s="2498" t="s">
        <v>2115</v>
      </c>
      <c r="C103" s="2499"/>
      <c r="D103" s="2499"/>
      <c r="E103" s="2499"/>
      <c r="F103" s="2499"/>
      <c r="G103" s="2499"/>
      <c r="H103" s="2499"/>
      <c r="I103" s="2627"/>
      <c r="J103" s="2628"/>
      <c r="K103" s="2628"/>
      <c r="L103" s="2628"/>
      <c r="M103" s="2628"/>
      <c r="N103" s="2628"/>
      <c r="O103" s="2629"/>
      <c r="P103" s="2627"/>
      <c r="Q103" s="2628"/>
      <c r="R103" s="2628"/>
      <c r="S103" s="2628"/>
      <c r="T103" s="2628"/>
      <c r="U103" s="2629"/>
      <c r="V103" s="1450"/>
      <c r="W103" s="1450"/>
      <c r="X103" s="1450"/>
      <c r="Y103" s="1450"/>
      <c r="Z103" s="1450"/>
      <c r="AA103" s="1450"/>
      <c r="AB103" s="1450"/>
      <c r="AC103" s="1450"/>
      <c r="AD103" s="1450"/>
      <c r="AE103" s="1450"/>
      <c r="AF103" s="1450"/>
      <c r="AG103" s="1450"/>
      <c r="AH103" s="1450"/>
      <c r="AI103" s="1450"/>
      <c r="AJ103" s="1450"/>
      <c r="AK103" s="1450"/>
      <c r="AL103" s="1450"/>
      <c r="AM103" s="1450"/>
      <c r="AN103" s="1450"/>
      <c r="AO103" s="1450"/>
      <c r="AP103" s="1450"/>
      <c r="AQ103" s="1450"/>
      <c r="AR103" s="1450"/>
      <c r="AS103" s="1450"/>
      <c r="AT103" s="1450"/>
      <c r="AU103" s="1450"/>
      <c r="AV103" s="1450"/>
      <c r="AW103" s="1450"/>
      <c r="AX103" s="1450"/>
      <c r="AY103" s="1450"/>
      <c r="AZ103" s="1450"/>
      <c r="BA103" s="1450"/>
      <c r="BB103" s="1450"/>
      <c r="BC103" s="1450"/>
      <c r="BD103" s="1450"/>
      <c r="BE103" s="1456"/>
    </row>
    <row r="104" spans="1:57" ht="15.75" customHeight="1" thickBot="1">
      <c r="A104" s="1679"/>
      <c r="B104" s="1450"/>
      <c r="C104" s="1450"/>
      <c r="D104" s="1450"/>
      <c r="E104" s="1450"/>
      <c r="F104" s="1450"/>
      <c r="G104" s="1450"/>
      <c r="H104" s="1450"/>
      <c r="I104" s="1450"/>
      <c r="J104" s="1450"/>
      <c r="K104" s="1450"/>
      <c r="L104" s="1450"/>
      <c r="M104" s="1450"/>
      <c r="N104" s="1450"/>
      <c r="O104" s="1450"/>
      <c r="P104" s="1450"/>
      <c r="Q104" s="1450"/>
      <c r="R104" s="1450"/>
      <c r="S104" s="1450"/>
      <c r="T104" s="1450"/>
      <c r="U104" s="1450"/>
      <c r="V104" s="1450"/>
      <c r="W104" s="1450"/>
      <c r="X104" s="1450"/>
      <c r="Y104" s="1450"/>
      <c r="Z104" s="1450"/>
      <c r="AA104" s="1450"/>
      <c r="AB104" s="1450"/>
      <c r="AC104" s="1450"/>
      <c r="AD104" s="1450"/>
      <c r="AE104" s="1450"/>
      <c r="AF104" s="1450"/>
      <c r="AG104" s="1450"/>
      <c r="AH104" s="1450"/>
      <c r="AI104" s="1450"/>
      <c r="AJ104" s="1450"/>
      <c r="AK104" s="1450"/>
      <c r="AL104" s="1450"/>
      <c r="AM104" s="1450"/>
      <c r="AN104" s="1450"/>
      <c r="AO104" s="1450"/>
      <c r="AP104" s="1450"/>
      <c r="AQ104" s="1450"/>
      <c r="AR104" s="1450"/>
      <c r="AS104" s="1450"/>
      <c r="AT104" s="1450"/>
      <c r="AU104" s="1450"/>
      <c r="AV104" s="1450"/>
      <c r="AW104" s="1450"/>
      <c r="AX104" s="1450"/>
      <c r="AY104" s="1450"/>
      <c r="AZ104" s="1450"/>
      <c r="BA104" s="1450"/>
      <c r="BB104" s="1450"/>
      <c r="BC104" s="1450"/>
      <c r="BD104" s="1450"/>
      <c r="BE104" s="1456"/>
    </row>
    <row r="105" spans="1:57" ht="15.75" customHeight="1" thickBot="1">
      <c r="A105" s="1679"/>
      <c r="B105" s="2660" t="s">
        <v>2123</v>
      </c>
      <c r="C105" s="2661"/>
      <c r="D105" s="2661"/>
      <c r="E105" s="2661"/>
      <c r="F105" s="2661"/>
      <c r="G105" s="2661"/>
      <c r="H105" s="2661"/>
      <c r="I105" s="2661"/>
      <c r="J105" s="2661"/>
      <c r="K105" s="2661"/>
      <c r="L105" s="2661"/>
      <c r="M105" s="2661"/>
      <c r="N105" s="2661"/>
      <c r="O105" s="2661"/>
      <c r="P105" s="2661"/>
      <c r="Q105" s="2661"/>
      <c r="R105" s="2662"/>
      <c r="S105" s="2662"/>
      <c r="T105" s="2662"/>
      <c r="U105" s="2662"/>
      <c r="V105" s="2662"/>
      <c r="W105" s="2662"/>
      <c r="X105" s="2662"/>
      <c r="Y105" s="2662"/>
      <c r="Z105" s="2662"/>
      <c r="AA105" s="2662"/>
      <c r="AB105" s="2662"/>
      <c r="AC105" s="2662"/>
      <c r="AD105" s="2662"/>
      <c r="AE105" s="2662"/>
      <c r="AF105" s="2662"/>
      <c r="AG105" s="2663" t="s">
        <v>2057</v>
      </c>
      <c r="AH105" s="2663"/>
      <c r="AI105" s="2663"/>
      <c r="AJ105" s="2664"/>
      <c r="AK105" s="1450"/>
      <c r="AL105" s="1450"/>
      <c r="AM105" s="1450"/>
      <c r="AN105" s="1450"/>
      <c r="AO105" s="1450"/>
      <c r="AP105" s="1450"/>
      <c r="AQ105" s="1450"/>
      <c r="AR105" s="1450"/>
      <c r="AS105" s="1450"/>
      <c r="AT105" s="1450"/>
      <c r="AU105" s="1450"/>
      <c r="AV105" s="1450"/>
      <c r="AW105" s="1450"/>
      <c r="AX105" s="1450"/>
      <c r="AY105" s="1450"/>
      <c r="AZ105" s="1450"/>
      <c r="BA105" s="1450"/>
      <c r="BB105" s="1450"/>
      <c r="BC105" s="1450"/>
      <c r="BD105" s="1450"/>
      <c r="BE105" s="1456"/>
    </row>
    <row r="106" spans="1:57" ht="15.75" customHeight="1" thickBot="1">
      <c r="A106" s="1679"/>
      <c r="B106" s="2665" t="s">
        <v>2124</v>
      </c>
      <c r="C106" s="2666"/>
      <c r="D106" s="2666"/>
      <c r="E106" s="2666"/>
      <c r="F106" s="2666"/>
      <c r="G106" s="2666"/>
      <c r="H106" s="2666"/>
      <c r="I106" s="2666"/>
      <c r="J106" s="2666"/>
      <c r="K106" s="2666"/>
      <c r="L106" s="2666"/>
      <c r="M106" s="2666"/>
      <c r="N106" s="2666"/>
      <c r="O106" s="2666"/>
      <c r="P106" s="2666"/>
      <c r="Q106" s="2667"/>
      <c r="R106" s="2668" t="s">
        <v>2125</v>
      </c>
      <c r="S106" s="2669"/>
      <c r="T106" s="2669"/>
      <c r="U106" s="2669"/>
      <c r="V106" s="2669"/>
      <c r="W106" s="2669"/>
      <c r="X106" s="2669"/>
      <c r="Y106" s="2669"/>
      <c r="Z106" s="2669"/>
      <c r="AA106" s="2669"/>
      <c r="AB106" s="2669"/>
      <c r="AC106" s="2669"/>
      <c r="AD106" s="2669"/>
      <c r="AE106" s="2669"/>
      <c r="AF106" s="2669"/>
      <c r="AG106" s="2669"/>
      <c r="AH106" s="2669"/>
      <c r="AI106" s="2669"/>
      <c r="AJ106" s="2669"/>
      <c r="AK106" s="2669"/>
      <c r="AL106" s="2669"/>
      <c r="AM106" s="2669"/>
      <c r="AN106" s="2669"/>
      <c r="AO106" s="2669"/>
      <c r="AP106" s="2669"/>
      <c r="AQ106" s="2669"/>
      <c r="AR106" s="2669"/>
      <c r="AS106" s="2669"/>
      <c r="AT106" s="2669"/>
      <c r="AU106" s="2669"/>
      <c r="AV106" s="2669"/>
      <c r="AW106" s="2669"/>
      <c r="AX106" s="2670"/>
      <c r="AY106" s="1450"/>
      <c r="AZ106" s="1450"/>
      <c r="BA106" s="1450"/>
      <c r="BB106" s="1450"/>
      <c r="BC106" s="1450"/>
      <c r="BD106" s="1450"/>
      <c r="BE106" s="1456"/>
    </row>
    <row r="107" spans="1:57" ht="15.75" customHeight="1">
      <c r="A107" s="1679"/>
      <c r="B107" s="2641" t="s">
        <v>2126</v>
      </c>
      <c r="C107" s="2642"/>
      <c r="D107" s="2642"/>
      <c r="E107" s="2642"/>
      <c r="F107" s="2642"/>
      <c r="G107" s="2642"/>
      <c r="H107" s="2642"/>
      <c r="I107" s="2642"/>
      <c r="J107" s="2642"/>
      <c r="K107" s="2642"/>
      <c r="L107" s="2642"/>
      <c r="M107" s="2642"/>
      <c r="N107" s="2642"/>
      <c r="O107" s="2642"/>
      <c r="P107" s="2642"/>
      <c r="Q107" s="2642"/>
      <c r="R107" s="2642"/>
      <c r="S107" s="2642"/>
      <c r="T107" s="2642"/>
      <c r="U107" s="2642"/>
      <c r="V107" s="2642"/>
      <c r="W107" s="2642"/>
      <c r="X107" s="2642"/>
      <c r="Y107" s="2642"/>
      <c r="Z107" s="2642"/>
      <c r="AA107" s="2642"/>
      <c r="AB107" s="2642"/>
      <c r="AC107" s="2642"/>
      <c r="AD107" s="2642"/>
      <c r="AE107" s="2642"/>
      <c r="AF107" s="2642"/>
      <c r="AG107" s="2642"/>
      <c r="AH107" s="2642"/>
      <c r="AI107" s="2642"/>
      <c r="AJ107" s="2642"/>
      <c r="AK107" s="2642"/>
      <c r="AL107" s="2642"/>
      <c r="AM107" s="2642"/>
      <c r="AN107" s="2642"/>
      <c r="AO107" s="2642"/>
      <c r="AP107" s="2642"/>
      <c r="AQ107" s="2642"/>
      <c r="AR107" s="2642"/>
      <c r="AS107" s="2642"/>
      <c r="AT107" s="2642"/>
      <c r="AU107" s="2642"/>
      <c r="AV107" s="2642"/>
      <c r="AW107" s="2642"/>
      <c r="AX107" s="2643"/>
      <c r="AY107" s="1450"/>
      <c r="AZ107" s="1450"/>
      <c r="BA107" s="1450"/>
      <c r="BB107" s="1450"/>
      <c r="BC107" s="1450"/>
      <c r="BD107" s="1450"/>
      <c r="BE107" s="1456"/>
    </row>
    <row r="108" spans="1:57" ht="15.75" customHeight="1">
      <c r="A108" s="1679"/>
      <c r="B108" s="2644"/>
      <c r="C108" s="2645"/>
      <c r="D108" s="2645"/>
      <c r="E108" s="2645"/>
      <c r="F108" s="2645"/>
      <c r="G108" s="2645"/>
      <c r="H108" s="2645"/>
      <c r="I108" s="2645"/>
      <c r="J108" s="2645"/>
      <c r="K108" s="2645"/>
      <c r="L108" s="2645"/>
      <c r="M108" s="2645"/>
      <c r="N108" s="2645"/>
      <c r="O108" s="2645"/>
      <c r="P108" s="2645"/>
      <c r="Q108" s="2645"/>
      <c r="R108" s="2645"/>
      <c r="S108" s="2645"/>
      <c r="T108" s="2645"/>
      <c r="U108" s="2645"/>
      <c r="V108" s="2645"/>
      <c r="W108" s="2645"/>
      <c r="X108" s="2645"/>
      <c r="Y108" s="2645"/>
      <c r="Z108" s="2645"/>
      <c r="AA108" s="2645"/>
      <c r="AB108" s="2645"/>
      <c r="AC108" s="2645"/>
      <c r="AD108" s="2645"/>
      <c r="AE108" s="2645"/>
      <c r="AF108" s="2645"/>
      <c r="AG108" s="2645"/>
      <c r="AH108" s="2645"/>
      <c r="AI108" s="2645"/>
      <c r="AJ108" s="2645"/>
      <c r="AK108" s="2645"/>
      <c r="AL108" s="2645"/>
      <c r="AM108" s="2645"/>
      <c r="AN108" s="2645"/>
      <c r="AO108" s="2645"/>
      <c r="AP108" s="2645"/>
      <c r="AQ108" s="2645"/>
      <c r="AR108" s="2645"/>
      <c r="AS108" s="2645"/>
      <c r="AT108" s="2645"/>
      <c r="AU108" s="2645"/>
      <c r="AV108" s="2645"/>
      <c r="AW108" s="2645"/>
      <c r="AX108" s="2646"/>
      <c r="AY108" s="1450"/>
      <c r="AZ108" s="1450"/>
      <c r="BA108" s="1450"/>
      <c r="BB108" s="1450"/>
      <c r="BC108" s="1450"/>
      <c r="BD108" s="1450"/>
      <c r="BE108" s="1456"/>
    </row>
    <row r="109" spans="1:57" ht="15.75" customHeight="1">
      <c r="A109" s="1679"/>
      <c r="B109" s="2644"/>
      <c r="C109" s="2645"/>
      <c r="D109" s="2645"/>
      <c r="E109" s="2645"/>
      <c r="F109" s="2645"/>
      <c r="G109" s="2645"/>
      <c r="H109" s="2645"/>
      <c r="I109" s="2645"/>
      <c r="J109" s="2645"/>
      <c r="K109" s="2645"/>
      <c r="L109" s="2645"/>
      <c r="M109" s="2645"/>
      <c r="N109" s="2645"/>
      <c r="O109" s="2645"/>
      <c r="P109" s="2645"/>
      <c r="Q109" s="2645"/>
      <c r="R109" s="2645"/>
      <c r="S109" s="2645"/>
      <c r="T109" s="2645"/>
      <c r="U109" s="2645"/>
      <c r="V109" s="2645"/>
      <c r="W109" s="2645"/>
      <c r="X109" s="2645"/>
      <c r="Y109" s="2645"/>
      <c r="Z109" s="2645"/>
      <c r="AA109" s="2645"/>
      <c r="AB109" s="2645"/>
      <c r="AC109" s="2645"/>
      <c r="AD109" s="2645"/>
      <c r="AE109" s="2645"/>
      <c r="AF109" s="2645"/>
      <c r="AG109" s="2645"/>
      <c r="AH109" s="2645"/>
      <c r="AI109" s="2645"/>
      <c r="AJ109" s="2645"/>
      <c r="AK109" s="2645"/>
      <c r="AL109" s="2645"/>
      <c r="AM109" s="2645"/>
      <c r="AN109" s="2645"/>
      <c r="AO109" s="2645"/>
      <c r="AP109" s="2645"/>
      <c r="AQ109" s="2645"/>
      <c r="AR109" s="2645"/>
      <c r="AS109" s="2645"/>
      <c r="AT109" s="2645"/>
      <c r="AU109" s="2645"/>
      <c r="AV109" s="2645"/>
      <c r="AW109" s="2645"/>
      <c r="AX109" s="2646"/>
      <c r="AY109" s="1450"/>
      <c r="AZ109" s="1450"/>
      <c r="BA109" s="1450"/>
      <c r="BB109" s="1450"/>
      <c r="BC109" s="1450"/>
      <c r="BD109" s="1450"/>
      <c r="BE109" s="1456"/>
    </row>
    <row r="110" spans="1:57" ht="15.75" customHeight="1">
      <c r="A110" s="1679"/>
      <c r="B110" s="2644"/>
      <c r="C110" s="2645"/>
      <c r="D110" s="2645"/>
      <c r="E110" s="2645"/>
      <c r="F110" s="2645"/>
      <c r="G110" s="2645"/>
      <c r="H110" s="2645"/>
      <c r="I110" s="2645"/>
      <c r="J110" s="2645"/>
      <c r="K110" s="2645"/>
      <c r="L110" s="2645"/>
      <c r="M110" s="2645"/>
      <c r="N110" s="2645"/>
      <c r="O110" s="2645"/>
      <c r="P110" s="2645"/>
      <c r="Q110" s="2645"/>
      <c r="R110" s="2645"/>
      <c r="S110" s="2645"/>
      <c r="T110" s="2645"/>
      <c r="U110" s="2645"/>
      <c r="V110" s="2645"/>
      <c r="W110" s="2645"/>
      <c r="X110" s="2645"/>
      <c r="Y110" s="2645"/>
      <c r="Z110" s="2645"/>
      <c r="AA110" s="2645"/>
      <c r="AB110" s="2645"/>
      <c r="AC110" s="2645"/>
      <c r="AD110" s="2645"/>
      <c r="AE110" s="2645"/>
      <c r="AF110" s="2645"/>
      <c r="AG110" s="2645"/>
      <c r="AH110" s="2645"/>
      <c r="AI110" s="2645"/>
      <c r="AJ110" s="2645"/>
      <c r="AK110" s="2645"/>
      <c r="AL110" s="2645"/>
      <c r="AM110" s="2645"/>
      <c r="AN110" s="2645"/>
      <c r="AO110" s="2645"/>
      <c r="AP110" s="2645"/>
      <c r="AQ110" s="2645"/>
      <c r="AR110" s="2645"/>
      <c r="AS110" s="2645"/>
      <c r="AT110" s="2645"/>
      <c r="AU110" s="2645"/>
      <c r="AV110" s="2645"/>
      <c r="AW110" s="2645"/>
      <c r="AX110" s="2646"/>
      <c r="AY110" s="1450"/>
      <c r="AZ110" s="1450"/>
      <c r="BA110" s="1450"/>
      <c r="BB110" s="1450"/>
      <c r="BC110" s="1450"/>
      <c r="BD110" s="1450"/>
      <c r="BE110" s="1456"/>
    </row>
    <row r="111" spans="1:57" ht="15.75" customHeight="1">
      <c r="A111" s="1679"/>
      <c r="B111" s="2644"/>
      <c r="C111" s="2645"/>
      <c r="D111" s="2645"/>
      <c r="E111" s="2645"/>
      <c r="F111" s="2645"/>
      <c r="G111" s="2645"/>
      <c r="H111" s="2645"/>
      <c r="I111" s="2645"/>
      <c r="J111" s="2645"/>
      <c r="K111" s="2645"/>
      <c r="L111" s="2645"/>
      <c r="M111" s="2645"/>
      <c r="N111" s="2645"/>
      <c r="O111" s="2645"/>
      <c r="P111" s="2645"/>
      <c r="Q111" s="2645"/>
      <c r="R111" s="2645"/>
      <c r="S111" s="2645"/>
      <c r="T111" s="2645"/>
      <c r="U111" s="2645"/>
      <c r="V111" s="2645"/>
      <c r="W111" s="2645"/>
      <c r="X111" s="2645"/>
      <c r="Y111" s="2645"/>
      <c r="Z111" s="2645"/>
      <c r="AA111" s="2645"/>
      <c r="AB111" s="2645"/>
      <c r="AC111" s="2645"/>
      <c r="AD111" s="2645"/>
      <c r="AE111" s="2645"/>
      <c r="AF111" s="2645"/>
      <c r="AG111" s="2645"/>
      <c r="AH111" s="2645"/>
      <c r="AI111" s="2645"/>
      <c r="AJ111" s="2645"/>
      <c r="AK111" s="2645"/>
      <c r="AL111" s="2645"/>
      <c r="AM111" s="2645"/>
      <c r="AN111" s="2645"/>
      <c r="AO111" s="2645"/>
      <c r="AP111" s="2645"/>
      <c r="AQ111" s="2645"/>
      <c r="AR111" s="2645"/>
      <c r="AS111" s="2645"/>
      <c r="AT111" s="2645"/>
      <c r="AU111" s="2645"/>
      <c r="AV111" s="2645"/>
      <c r="AW111" s="2645"/>
      <c r="AX111" s="2646"/>
      <c r="AY111" s="1450"/>
      <c r="AZ111" s="1450"/>
      <c r="BA111" s="1450"/>
      <c r="BB111" s="1450"/>
      <c r="BC111" s="1450"/>
      <c r="BD111" s="1450"/>
      <c r="BE111" s="1456"/>
    </row>
    <row r="112" spans="1:57" ht="15.75" customHeight="1">
      <c r="A112" s="1679"/>
      <c r="B112" s="2644"/>
      <c r="C112" s="2645"/>
      <c r="D112" s="2645"/>
      <c r="E112" s="2645"/>
      <c r="F112" s="2645"/>
      <c r="G112" s="2645"/>
      <c r="H112" s="2645"/>
      <c r="I112" s="2645"/>
      <c r="J112" s="2645"/>
      <c r="K112" s="2645"/>
      <c r="L112" s="2645"/>
      <c r="M112" s="2645"/>
      <c r="N112" s="2645"/>
      <c r="O112" s="2645"/>
      <c r="P112" s="2645"/>
      <c r="Q112" s="2645"/>
      <c r="R112" s="2645"/>
      <c r="S112" s="2645"/>
      <c r="T112" s="2645"/>
      <c r="U112" s="2645"/>
      <c r="V112" s="2645"/>
      <c r="W112" s="2645"/>
      <c r="X112" s="2645"/>
      <c r="Y112" s="2645"/>
      <c r="Z112" s="2645"/>
      <c r="AA112" s="2645"/>
      <c r="AB112" s="2645"/>
      <c r="AC112" s="2645"/>
      <c r="AD112" s="2645"/>
      <c r="AE112" s="2645"/>
      <c r="AF112" s="2645"/>
      <c r="AG112" s="2645"/>
      <c r="AH112" s="2645"/>
      <c r="AI112" s="2645"/>
      <c r="AJ112" s="2645"/>
      <c r="AK112" s="2645"/>
      <c r="AL112" s="2645"/>
      <c r="AM112" s="2645"/>
      <c r="AN112" s="2645"/>
      <c r="AO112" s="2645"/>
      <c r="AP112" s="2645"/>
      <c r="AQ112" s="2645"/>
      <c r="AR112" s="2645"/>
      <c r="AS112" s="2645"/>
      <c r="AT112" s="2645"/>
      <c r="AU112" s="2645"/>
      <c r="AV112" s="2645"/>
      <c r="AW112" s="2645"/>
      <c r="AX112" s="2646"/>
      <c r="AY112" s="1450"/>
      <c r="AZ112" s="1450"/>
      <c r="BA112" s="1450"/>
      <c r="BB112" s="1450"/>
      <c r="BC112" s="1450"/>
      <c r="BD112" s="1450"/>
      <c r="BE112" s="1456"/>
    </row>
    <row r="113" spans="1:57" ht="15.75" customHeight="1">
      <c r="A113" s="1679"/>
      <c r="B113" s="2644"/>
      <c r="C113" s="2645"/>
      <c r="D113" s="2645"/>
      <c r="E113" s="2645"/>
      <c r="F113" s="2645"/>
      <c r="G113" s="2645"/>
      <c r="H113" s="2645"/>
      <c r="I113" s="2645"/>
      <c r="J113" s="2645"/>
      <c r="K113" s="2645"/>
      <c r="L113" s="2645"/>
      <c r="M113" s="2645"/>
      <c r="N113" s="2645"/>
      <c r="O113" s="2645"/>
      <c r="P113" s="2645"/>
      <c r="Q113" s="2645"/>
      <c r="R113" s="2645"/>
      <c r="S113" s="2645"/>
      <c r="T113" s="2645"/>
      <c r="U113" s="2645"/>
      <c r="V113" s="2645"/>
      <c r="W113" s="2645"/>
      <c r="X113" s="2645"/>
      <c r="Y113" s="2645"/>
      <c r="Z113" s="2645"/>
      <c r="AA113" s="2645"/>
      <c r="AB113" s="2645"/>
      <c r="AC113" s="2645"/>
      <c r="AD113" s="2645"/>
      <c r="AE113" s="2645"/>
      <c r="AF113" s="2645"/>
      <c r="AG113" s="2645"/>
      <c r="AH113" s="2645"/>
      <c r="AI113" s="2645"/>
      <c r="AJ113" s="2645"/>
      <c r="AK113" s="2645"/>
      <c r="AL113" s="2645"/>
      <c r="AM113" s="2645"/>
      <c r="AN113" s="2645"/>
      <c r="AO113" s="2645"/>
      <c r="AP113" s="2645"/>
      <c r="AQ113" s="2645"/>
      <c r="AR113" s="2645"/>
      <c r="AS113" s="2645"/>
      <c r="AT113" s="2645"/>
      <c r="AU113" s="2645"/>
      <c r="AV113" s="2645"/>
      <c r="AW113" s="2645"/>
      <c r="AX113" s="2646"/>
      <c r="AY113" s="1450"/>
      <c r="AZ113" s="1450"/>
      <c r="BA113" s="1450"/>
      <c r="BB113" s="1450"/>
      <c r="BC113" s="1450"/>
      <c r="BD113" s="1450"/>
      <c r="BE113" s="1456"/>
    </row>
    <row r="114" spans="1:57" ht="15.75" customHeight="1">
      <c r="A114" s="1679"/>
      <c r="B114" s="2644"/>
      <c r="C114" s="2645"/>
      <c r="D114" s="2645"/>
      <c r="E114" s="2645"/>
      <c r="F114" s="2645"/>
      <c r="G114" s="2645"/>
      <c r="H114" s="2645"/>
      <c r="I114" s="2645"/>
      <c r="J114" s="2645"/>
      <c r="K114" s="2645"/>
      <c r="L114" s="2645"/>
      <c r="M114" s="2645"/>
      <c r="N114" s="2645"/>
      <c r="O114" s="2645"/>
      <c r="P114" s="2645"/>
      <c r="Q114" s="2645"/>
      <c r="R114" s="2645"/>
      <c r="S114" s="2645"/>
      <c r="T114" s="2645"/>
      <c r="U114" s="2645"/>
      <c r="V114" s="2645"/>
      <c r="W114" s="2645"/>
      <c r="X114" s="2645"/>
      <c r="Y114" s="2645"/>
      <c r="Z114" s="2645"/>
      <c r="AA114" s="2645"/>
      <c r="AB114" s="2645"/>
      <c r="AC114" s="2645"/>
      <c r="AD114" s="2645"/>
      <c r="AE114" s="2645"/>
      <c r="AF114" s="2645"/>
      <c r="AG114" s="2645"/>
      <c r="AH114" s="2645"/>
      <c r="AI114" s="2645"/>
      <c r="AJ114" s="2645"/>
      <c r="AK114" s="2645"/>
      <c r="AL114" s="2645"/>
      <c r="AM114" s="2645"/>
      <c r="AN114" s="2645"/>
      <c r="AO114" s="2645"/>
      <c r="AP114" s="2645"/>
      <c r="AQ114" s="2645"/>
      <c r="AR114" s="2645"/>
      <c r="AS114" s="2645"/>
      <c r="AT114" s="2645"/>
      <c r="AU114" s="2645"/>
      <c r="AV114" s="2645"/>
      <c r="AW114" s="2645"/>
      <c r="AX114" s="2646"/>
      <c r="AY114" s="1450"/>
      <c r="AZ114" s="1450"/>
      <c r="BA114" s="1450"/>
      <c r="BB114" s="1450"/>
      <c r="BC114" s="1450"/>
      <c r="BD114" s="1450"/>
      <c r="BE114" s="1456"/>
    </row>
    <row r="115" spans="1:57" ht="15.75" customHeight="1">
      <c r="A115" s="1679"/>
      <c r="B115" s="2644"/>
      <c r="C115" s="2645"/>
      <c r="D115" s="2645"/>
      <c r="E115" s="2645"/>
      <c r="F115" s="2645"/>
      <c r="G115" s="2645"/>
      <c r="H115" s="2645"/>
      <c r="I115" s="2645"/>
      <c r="J115" s="2645"/>
      <c r="K115" s="2645"/>
      <c r="L115" s="2645"/>
      <c r="M115" s="2645"/>
      <c r="N115" s="2645"/>
      <c r="O115" s="2645"/>
      <c r="P115" s="2645"/>
      <c r="Q115" s="2645"/>
      <c r="R115" s="2645"/>
      <c r="S115" s="2645"/>
      <c r="T115" s="2645"/>
      <c r="U115" s="2645"/>
      <c r="V115" s="2645"/>
      <c r="W115" s="2645"/>
      <c r="X115" s="2645"/>
      <c r="Y115" s="2645"/>
      <c r="Z115" s="2645"/>
      <c r="AA115" s="2645"/>
      <c r="AB115" s="2645"/>
      <c r="AC115" s="2645"/>
      <c r="AD115" s="2645"/>
      <c r="AE115" s="2645"/>
      <c r="AF115" s="2645"/>
      <c r="AG115" s="2645"/>
      <c r="AH115" s="2645"/>
      <c r="AI115" s="2645"/>
      <c r="AJ115" s="2645"/>
      <c r="AK115" s="2645"/>
      <c r="AL115" s="2645"/>
      <c r="AM115" s="2645"/>
      <c r="AN115" s="2645"/>
      <c r="AO115" s="2645"/>
      <c r="AP115" s="2645"/>
      <c r="AQ115" s="2645"/>
      <c r="AR115" s="2645"/>
      <c r="AS115" s="2645"/>
      <c r="AT115" s="2645"/>
      <c r="AU115" s="2645"/>
      <c r="AV115" s="2645"/>
      <c r="AW115" s="2645"/>
      <c r="AX115" s="2646"/>
      <c r="AY115" s="1450"/>
      <c r="AZ115" s="1450"/>
      <c r="BA115" s="1450"/>
      <c r="BB115" s="1450"/>
      <c r="BC115" s="1450"/>
      <c r="BD115" s="1450"/>
      <c r="BE115" s="1456"/>
    </row>
    <row r="116" spans="1:57" ht="15.75" customHeight="1" thickBot="1">
      <c r="A116" s="1679"/>
      <c r="B116" s="2647"/>
      <c r="C116" s="2648"/>
      <c r="D116" s="2648"/>
      <c r="E116" s="2648"/>
      <c r="F116" s="2648"/>
      <c r="G116" s="2648"/>
      <c r="H116" s="2648"/>
      <c r="I116" s="2648"/>
      <c r="J116" s="2648"/>
      <c r="K116" s="2648"/>
      <c r="L116" s="2648"/>
      <c r="M116" s="2648"/>
      <c r="N116" s="2648"/>
      <c r="O116" s="2648"/>
      <c r="P116" s="2648"/>
      <c r="Q116" s="2648"/>
      <c r="R116" s="2648"/>
      <c r="S116" s="2648"/>
      <c r="T116" s="2648"/>
      <c r="U116" s="2648"/>
      <c r="V116" s="2648"/>
      <c r="W116" s="2648"/>
      <c r="X116" s="2648"/>
      <c r="Y116" s="2648"/>
      <c r="Z116" s="2648"/>
      <c r="AA116" s="2648"/>
      <c r="AB116" s="2648"/>
      <c r="AC116" s="2648"/>
      <c r="AD116" s="2648"/>
      <c r="AE116" s="2648"/>
      <c r="AF116" s="2648"/>
      <c r="AG116" s="2648"/>
      <c r="AH116" s="2648"/>
      <c r="AI116" s="2648"/>
      <c r="AJ116" s="2648"/>
      <c r="AK116" s="2648"/>
      <c r="AL116" s="2648"/>
      <c r="AM116" s="2648"/>
      <c r="AN116" s="2648"/>
      <c r="AO116" s="2648"/>
      <c r="AP116" s="2648"/>
      <c r="AQ116" s="2648"/>
      <c r="AR116" s="2648"/>
      <c r="AS116" s="2648"/>
      <c r="AT116" s="2648"/>
      <c r="AU116" s="2648"/>
      <c r="AV116" s="2648"/>
      <c r="AW116" s="2648"/>
      <c r="AX116" s="2649"/>
      <c r="AY116" s="1450"/>
      <c r="AZ116" s="1450"/>
      <c r="BA116" s="1450"/>
      <c r="BB116" s="1450"/>
      <c r="BC116" s="1450"/>
      <c r="BD116" s="1450"/>
      <c r="BE116" s="1456"/>
    </row>
    <row r="117" spans="1:57" ht="15.75" customHeight="1">
      <c r="A117" s="1679"/>
      <c r="B117" s="1450"/>
      <c r="C117" s="1450"/>
      <c r="D117" s="1450"/>
      <c r="E117" s="1450"/>
      <c r="F117" s="1450"/>
      <c r="G117" s="1450"/>
      <c r="H117" s="1450"/>
      <c r="I117" s="1450"/>
      <c r="J117" s="1450"/>
      <c r="K117" s="1450"/>
      <c r="L117" s="1450"/>
      <c r="M117" s="1450"/>
      <c r="N117" s="1450"/>
      <c r="O117" s="1450"/>
      <c r="P117" s="1450"/>
      <c r="Q117" s="1450"/>
      <c r="R117" s="1450"/>
      <c r="S117" s="1450"/>
      <c r="T117" s="1450"/>
      <c r="U117" s="1450"/>
      <c r="V117" s="1450"/>
      <c r="W117" s="1450"/>
      <c r="X117" s="1450"/>
      <c r="Y117" s="1450"/>
      <c r="Z117" s="1450"/>
      <c r="AA117" s="1450"/>
      <c r="AB117" s="1450"/>
      <c r="AC117" s="1450"/>
      <c r="AD117" s="1450"/>
      <c r="AE117" s="1450"/>
      <c r="AF117" s="1450"/>
      <c r="AG117" s="1450"/>
      <c r="AH117" s="1450"/>
      <c r="AI117" s="1450"/>
      <c r="AJ117" s="1450"/>
      <c r="AK117" s="1450"/>
      <c r="AL117" s="1450"/>
      <c r="AM117" s="1450"/>
      <c r="AN117" s="1450"/>
      <c r="AO117" s="1450"/>
      <c r="AP117" s="1450"/>
      <c r="AQ117" s="1450"/>
      <c r="AR117" s="1450"/>
      <c r="AS117" s="1450"/>
      <c r="AT117" s="1450"/>
      <c r="AU117" s="1450"/>
      <c r="AV117" s="1450"/>
      <c r="AW117" s="1450"/>
      <c r="AX117" s="1450"/>
      <c r="AY117" s="1450"/>
      <c r="AZ117" s="1450"/>
      <c r="BA117" s="1450"/>
      <c r="BB117" s="1450"/>
      <c r="BC117" s="1450"/>
      <c r="BD117" s="1450"/>
      <c r="BE117" s="1456"/>
    </row>
    <row r="118" spans="1:57" ht="15.75" customHeight="1">
      <c r="A118" s="1681"/>
      <c r="B118" s="1460" t="s">
        <v>2127</v>
      </c>
      <c r="C118" s="1460"/>
      <c r="D118" s="1460"/>
      <c r="E118" s="1460"/>
      <c r="F118" s="1460"/>
      <c r="G118" s="1460"/>
      <c r="H118" s="1460"/>
      <c r="I118" s="1460"/>
      <c r="J118" s="1460"/>
      <c r="K118" s="1460"/>
      <c r="L118" s="1460"/>
      <c r="M118" s="1460"/>
      <c r="N118" s="1457"/>
      <c r="O118" s="1457"/>
      <c r="P118" s="1450"/>
      <c r="Q118" s="1450"/>
      <c r="R118" s="1450"/>
      <c r="S118" s="1450"/>
      <c r="T118" s="1450"/>
      <c r="U118" s="1450"/>
      <c r="V118" s="1450"/>
      <c r="W118" s="1450"/>
      <c r="X118" s="1450"/>
      <c r="Y118" s="1450"/>
      <c r="Z118" s="1450"/>
      <c r="AA118" s="1450"/>
      <c r="AB118" s="1450"/>
      <c r="AC118" s="1450"/>
      <c r="AD118" s="1450"/>
      <c r="AE118" s="1450"/>
      <c r="AF118" s="1450"/>
      <c r="AG118" s="1450"/>
      <c r="AH118" s="1450"/>
      <c r="AI118" s="1450"/>
      <c r="AJ118" s="1450"/>
      <c r="AK118" s="1450"/>
      <c r="AL118" s="1450"/>
      <c r="AM118" s="1450"/>
      <c r="AN118" s="1450"/>
      <c r="AO118" s="1450"/>
      <c r="AP118" s="1450"/>
      <c r="AQ118" s="1450"/>
      <c r="AR118" s="1450"/>
      <c r="AS118" s="1450"/>
      <c r="AT118" s="1450"/>
      <c r="AU118" s="1450"/>
      <c r="AV118" s="1450"/>
      <c r="AW118" s="1450"/>
      <c r="AX118" s="1450"/>
      <c r="AY118" s="1450"/>
      <c r="AZ118" s="1450"/>
      <c r="BA118" s="1450"/>
      <c r="BB118" s="1450"/>
      <c r="BC118" s="1450"/>
      <c r="BD118" s="1450"/>
      <c r="BE118" s="1456"/>
    </row>
    <row r="119" spans="1:57" ht="15.75" customHeight="1" thickBot="1">
      <c r="A119" s="1679"/>
      <c r="B119" s="1450"/>
      <c r="C119" s="1450"/>
      <c r="D119" s="1450"/>
      <c r="E119" s="1450"/>
      <c r="F119" s="1450"/>
      <c r="G119" s="1450"/>
      <c r="H119" s="1450"/>
      <c r="I119" s="1450"/>
      <c r="J119" s="1450"/>
      <c r="K119" s="1450"/>
      <c r="L119" s="1450"/>
      <c r="M119" s="1450"/>
      <c r="N119" s="1450"/>
      <c r="O119" s="1450"/>
      <c r="P119" s="1457"/>
      <c r="Q119" s="1450"/>
      <c r="R119" s="1450"/>
      <c r="S119" s="1450"/>
      <c r="T119" s="1450"/>
      <c r="U119" s="1450"/>
      <c r="V119" s="1450"/>
      <c r="W119" s="1450"/>
      <c r="X119" s="1450"/>
      <c r="Y119" s="1450"/>
      <c r="Z119" s="1450"/>
      <c r="AA119" s="1450"/>
      <c r="AB119" s="1450"/>
      <c r="AC119" s="1450"/>
      <c r="AD119" s="1450"/>
      <c r="AE119" s="1450"/>
      <c r="AF119" s="1450"/>
      <c r="AG119" s="1450"/>
      <c r="AH119" s="1450"/>
      <c r="AI119" s="1450"/>
      <c r="AJ119" s="1450"/>
      <c r="AK119" s="1450"/>
      <c r="AL119" s="1450"/>
      <c r="AM119" s="1450"/>
      <c r="AN119" s="1450"/>
      <c r="AO119" s="1450"/>
      <c r="AP119" s="1450"/>
      <c r="AQ119" s="1450"/>
      <c r="AR119" s="1450"/>
      <c r="AS119" s="1450"/>
      <c r="AT119" s="1450"/>
      <c r="AU119" s="1450"/>
      <c r="AV119" s="1450"/>
      <c r="AW119" s="1450"/>
      <c r="AX119" s="1450"/>
      <c r="AY119" s="1450"/>
      <c r="AZ119" s="1450"/>
      <c r="BA119" s="1450"/>
      <c r="BB119" s="1450"/>
      <c r="BC119" s="1450"/>
      <c r="BD119" s="1450"/>
      <c r="BE119" s="1456"/>
    </row>
    <row r="120" spans="1:57" ht="15.75" customHeight="1">
      <c r="A120" s="1679"/>
      <c r="B120" s="2650" t="s">
        <v>2128</v>
      </c>
      <c r="C120" s="2651"/>
      <c r="D120" s="2651"/>
      <c r="E120" s="2651"/>
      <c r="F120" s="2651"/>
      <c r="G120" s="2651"/>
      <c r="H120" s="2651"/>
      <c r="I120" s="2651"/>
      <c r="J120" s="2651"/>
      <c r="K120" s="2651"/>
      <c r="L120" s="2651"/>
      <c r="M120" s="2651"/>
      <c r="N120" s="2651"/>
      <c r="O120" s="2651"/>
      <c r="P120" s="2651"/>
      <c r="Q120" s="2651"/>
      <c r="R120" s="2651"/>
      <c r="S120" s="2651"/>
      <c r="T120" s="2651"/>
      <c r="U120" s="2652"/>
      <c r="V120" s="1450"/>
      <c r="W120" s="1450"/>
      <c r="X120" s="1450"/>
      <c r="Y120" s="1450"/>
      <c r="Z120" s="1450"/>
      <c r="AA120" s="1450"/>
      <c r="AB120" s="1450"/>
      <c r="AC120" s="1450" t="s">
        <v>258</v>
      </c>
      <c r="AD120" s="1450"/>
      <c r="AE120" s="1450"/>
      <c r="AF120" s="1450"/>
      <c r="AG120" s="1450"/>
      <c r="AH120" s="1450"/>
      <c r="AI120" s="1450"/>
      <c r="AJ120" s="1450"/>
      <c r="AK120" s="1450"/>
      <c r="AL120" s="1450"/>
      <c r="AM120" s="1450"/>
      <c r="AN120" s="1450"/>
      <c r="AO120" s="1450"/>
      <c r="AP120" s="1450"/>
      <c r="AQ120" s="1450"/>
      <c r="AR120" s="1450"/>
      <c r="AS120" s="1450"/>
      <c r="AT120" s="1450"/>
      <c r="AU120" s="1450"/>
      <c r="AV120" s="1450"/>
      <c r="AW120" s="1450"/>
      <c r="AX120" s="1450"/>
      <c r="AY120" s="1450"/>
      <c r="AZ120" s="1450"/>
      <c r="BA120" s="1450"/>
      <c r="BB120" s="1450"/>
      <c r="BC120" s="1450"/>
      <c r="BD120" s="1450"/>
      <c r="BE120" s="1456"/>
    </row>
    <row r="121" spans="1:57" ht="15.75" customHeight="1">
      <c r="A121" s="1679"/>
      <c r="B121" s="2653"/>
      <c r="C121" s="2654"/>
      <c r="D121" s="2654"/>
      <c r="E121" s="2654"/>
      <c r="F121" s="2654"/>
      <c r="G121" s="2654"/>
      <c r="H121" s="2655"/>
      <c r="I121" s="2656" t="s">
        <v>2111</v>
      </c>
      <c r="J121" s="2555"/>
      <c r="K121" s="2555"/>
      <c r="L121" s="2555"/>
      <c r="M121" s="2555"/>
      <c r="N121" s="2555"/>
      <c r="O121" s="2657"/>
      <c r="P121" s="2656" t="s">
        <v>2122</v>
      </c>
      <c r="Q121" s="2555"/>
      <c r="R121" s="2555"/>
      <c r="S121" s="2555"/>
      <c r="T121" s="2555"/>
      <c r="U121" s="2657"/>
      <c r="V121" s="1450"/>
      <c r="W121" s="1450"/>
      <c r="X121" s="1450"/>
      <c r="Y121" s="1450"/>
      <c r="Z121" s="1450"/>
      <c r="AA121" s="1450"/>
      <c r="AB121" s="1450"/>
      <c r="AC121" s="1450"/>
      <c r="AD121" s="1450" t="s">
        <v>258</v>
      </c>
      <c r="AE121" s="1450"/>
      <c r="AF121" s="1450"/>
      <c r="AG121" s="1450"/>
      <c r="AH121" s="1450"/>
      <c r="AI121" s="1450"/>
      <c r="AJ121" s="1450"/>
      <c r="AK121" s="1450"/>
      <c r="AL121" s="1450"/>
      <c r="AM121" s="1450"/>
      <c r="AN121" s="1450"/>
      <c r="AO121" s="1450"/>
      <c r="AP121" s="1450"/>
      <c r="AQ121" s="1450"/>
      <c r="AR121" s="1450"/>
      <c r="AS121" s="1450"/>
      <c r="AT121" s="1450"/>
      <c r="AU121" s="1450"/>
      <c r="AV121" s="1450"/>
      <c r="AW121" s="1450"/>
      <c r="AX121" s="1450"/>
      <c r="AY121" s="1450"/>
      <c r="AZ121" s="1450"/>
      <c r="BA121" s="1450"/>
      <c r="BB121" s="1450"/>
      <c r="BC121" s="1450"/>
      <c r="BD121" s="1450"/>
      <c r="BE121" s="1456"/>
    </row>
    <row r="122" spans="1:57" ht="15.75" customHeight="1">
      <c r="A122" s="1679"/>
      <c r="B122" s="2658" t="s">
        <v>2114</v>
      </c>
      <c r="C122" s="2659"/>
      <c r="D122" s="2659"/>
      <c r="E122" s="2659"/>
      <c r="F122" s="2659"/>
      <c r="G122" s="2659"/>
      <c r="H122" s="2659"/>
      <c r="I122" s="2627"/>
      <c r="J122" s="2628"/>
      <c r="K122" s="2628"/>
      <c r="L122" s="2628"/>
      <c r="M122" s="2628"/>
      <c r="N122" s="2628"/>
      <c r="O122" s="2629"/>
      <c r="P122" s="2627"/>
      <c r="Q122" s="2628"/>
      <c r="R122" s="2628"/>
      <c r="S122" s="2628"/>
      <c r="T122" s="2628"/>
      <c r="U122" s="2629"/>
      <c r="V122" s="1450"/>
      <c r="W122" s="1450"/>
      <c r="X122" s="1450"/>
      <c r="Y122" s="1450"/>
      <c r="Z122" s="1450"/>
      <c r="AA122" s="1450"/>
      <c r="AB122" s="1450"/>
      <c r="AC122" s="1450"/>
      <c r="AD122" s="1450"/>
      <c r="AE122" s="1450"/>
      <c r="AF122" s="1450"/>
      <c r="AG122" s="1450"/>
      <c r="AH122" s="1450"/>
      <c r="AI122" s="1450"/>
      <c r="AJ122" s="1450"/>
      <c r="AK122" s="1450"/>
      <c r="AL122" s="1450"/>
      <c r="AM122" s="1450"/>
      <c r="AN122" s="1450"/>
      <c r="AO122" s="1450"/>
      <c r="AP122" s="1450"/>
      <c r="AQ122" s="1450"/>
      <c r="AR122" s="1450"/>
      <c r="AS122" s="1450"/>
      <c r="AT122" s="1450"/>
      <c r="AU122" s="1450"/>
      <c r="AV122" s="1450"/>
      <c r="AW122" s="1450"/>
      <c r="AX122" s="1450"/>
      <c r="AY122" s="1450"/>
      <c r="AZ122" s="1450"/>
      <c r="BA122" s="1450"/>
      <c r="BB122" s="1450"/>
      <c r="BC122" s="1450"/>
      <c r="BD122" s="1450"/>
      <c r="BE122" s="1456"/>
    </row>
    <row r="123" spans="1:57" ht="15.75" customHeight="1" thickBot="1">
      <c r="A123" s="1679"/>
      <c r="B123" s="2498" t="s">
        <v>2115</v>
      </c>
      <c r="C123" s="2499"/>
      <c r="D123" s="2499"/>
      <c r="E123" s="2499"/>
      <c r="F123" s="2499"/>
      <c r="G123" s="2499"/>
      <c r="H123" s="2499"/>
      <c r="I123" s="2627"/>
      <c r="J123" s="2628"/>
      <c r="K123" s="2628"/>
      <c r="L123" s="2628"/>
      <c r="M123" s="2628"/>
      <c r="N123" s="2628"/>
      <c r="O123" s="2629"/>
      <c r="P123" s="2627"/>
      <c r="Q123" s="2628"/>
      <c r="R123" s="2628"/>
      <c r="S123" s="2628"/>
      <c r="T123" s="2628"/>
      <c r="U123" s="2629"/>
      <c r="V123" s="1450"/>
      <c r="W123" s="1450"/>
      <c r="X123" s="1450"/>
      <c r="Y123" s="1450"/>
      <c r="Z123" s="1450"/>
      <c r="AA123" s="1450"/>
      <c r="AB123" s="1450"/>
      <c r="AC123" s="1450"/>
      <c r="AD123" s="1450"/>
      <c r="AE123" s="1450"/>
      <c r="AF123" s="1450"/>
      <c r="AG123" s="1450"/>
      <c r="AH123" s="1450"/>
      <c r="AI123" s="1450"/>
      <c r="AJ123" s="1450"/>
      <c r="AK123" s="1450"/>
      <c r="AL123" s="1450"/>
      <c r="AM123" s="1450"/>
      <c r="AN123" s="1450"/>
      <c r="AO123" s="1450"/>
      <c r="AP123" s="1450"/>
      <c r="AQ123" s="1450"/>
      <c r="AR123" s="1450"/>
      <c r="AS123" s="1450"/>
      <c r="AT123" s="1450"/>
      <c r="AU123" s="1450"/>
      <c r="AV123" s="1450"/>
      <c r="AW123" s="1450"/>
      <c r="AX123" s="1450"/>
      <c r="AY123" s="1450"/>
      <c r="AZ123" s="1450"/>
      <c r="BA123" s="1450"/>
      <c r="BB123" s="1450"/>
      <c r="BC123" s="1450"/>
      <c r="BD123" s="1450"/>
      <c r="BE123" s="1456"/>
    </row>
    <row r="124" spans="1:57" ht="15.75" customHeight="1" thickBot="1">
      <c r="A124" s="1679"/>
      <c r="B124" s="1450"/>
      <c r="C124" s="1450"/>
      <c r="D124" s="1450"/>
      <c r="E124" s="1450"/>
      <c r="F124" s="1450"/>
      <c r="G124" s="1450"/>
      <c r="H124" s="1450"/>
      <c r="I124" s="1450"/>
      <c r="J124" s="1450"/>
      <c r="K124" s="1450"/>
      <c r="L124" s="1450"/>
      <c r="M124" s="1450"/>
      <c r="N124" s="1450"/>
      <c r="O124" s="1450"/>
      <c r="P124" s="1450"/>
      <c r="Q124" s="1450"/>
      <c r="R124" s="1450"/>
      <c r="S124" s="1450"/>
      <c r="T124" s="1450"/>
      <c r="U124" s="1450"/>
      <c r="V124" s="1450"/>
      <c r="W124" s="1450"/>
      <c r="X124" s="1450"/>
      <c r="Y124" s="1450"/>
      <c r="Z124" s="1450"/>
      <c r="AA124" s="1450"/>
      <c r="AB124" s="1450"/>
      <c r="AC124" s="1450"/>
      <c r="AD124" s="1450"/>
      <c r="AE124" s="1450"/>
      <c r="AF124" s="1450"/>
      <c r="AG124" s="1450"/>
      <c r="AH124" s="1450"/>
      <c r="AI124" s="1450"/>
      <c r="AJ124" s="1450"/>
      <c r="AK124" s="1450"/>
      <c r="AL124" s="1450"/>
      <c r="AM124" s="1450"/>
      <c r="AN124" s="1450"/>
      <c r="AO124" s="1450"/>
      <c r="AP124" s="1450"/>
      <c r="AQ124" s="1450"/>
      <c r="AR124" s="1450"/>
      <c r="AS124" s="1450"/>
      <c r="AT124" s="1450"/>
      <c r="AU124" s="1450"/>
      <c r="AV124" s="1450"/>
      <c r="AW124" s="1450"/>
      <c r="AX124" s="1450"/>
      <c r="AY124" s="1450"/>
      <c r="AZ124" s="1450"/>
      <c r="BA124" s="1450"/>
      <c r="BB124" s="1450"/>
      <c r="BC124" s="1450"/>
      <c r="BD124" s="1450"/>
      <c r="BE124" s="1456"/>
    </row>
    <row r="125" spans="1:57" ht="15.75" customHeight="1">
      <c r="A125" s="1679"/>
      <c r="B125" s="1450"/>
      <c r="C125" s="2630" t="s">
        <v>2129</v>
      </c>
      <c r="D125" s="2631"/>
      <c r="E125" s="2631"/>
      <c r="F125" s="2631"/>
      <c r="G125" s="2631"/>
      <c r="H125" s="2631"/>
      <c r="I125" s="2631"/>
      <c r="J125" s="2631"/>
      <c r="K125" s="2631"/>
      <c r="L125" s="2631"/>
      <c r="M125" s="2631"/>
      <c r="N125" s="2631"/>
      <c r="O125" s="2631"/>
      <c r="P125" s="2631"/>
      <c r="Q125" s="2631"/>
      <c r="R125" s="2631"/>
      <c r="S125" s="2631"/>
      <c r="T125" s="2631"/>
      <c r="U125" s="2631"/>
      <c r="V125" s="2631"/>
      <c r="W125" s="2631"/>
      <c r="X125" s="2631"/>
      <c r="Y125" s="2631"/>
      <c r="Z125" s="2631"/>
      <c r="AA125" s="2631"/>
      <c r="AB125" s="2631"/>
      <c r="AC125" s="2631"/>
      <c r="AD125" s="2631"/>
      <c r="AE125" s="2631"/>
      <c r="AF125" s="2631"/>
      <c r="AG125" s="2632"/>
      <c r="AH125" s="1450"/>
      <c r="AI125" s="1450"/>
      <c r="AJ125" s="1450"/>
      <c r="AK125" s="1450"/>
      <c r="AL125" s="1450"/>
      <c r="AM125" s="1450"/>
      <c r="AN125" s="1450"/>
      <c r="AO125" s="1450"/>
      <c r="AP125" s="1450"/>
      <c r="AQ125" s="1450"/>
      <c r="AR125" s="1450"/>
      <c r="AS125" s="1450"/>
      <c r="AT125" s="1450"/>
      <c r="AU125" s="1450"/>
      <c r="AV125" s="1450"/>
      <c r="AW125" s="1450"/>
      <c r="AX125" s="1450"/>
      <c r="AY125" s="1450"/>
      <c r="AZ125" s="1450"/>
      <c r="BA125" s="1450"/>
      <c r="BB125" s="1450"/>
      <c r="BC125" s="1450"/>
      <c r="BD125" s="1450"/>
      <c r="BE125" s="1456"/>
    </row>
    <row r="126" spans="1:57" ht="15.75" customHeight="1" thickBot="1">
      <c r="A126" s="1679"/>
      <c r="B126" s="1450"/>
      <c r="C126" s="2546" t="s">
        <v>2130</v>
      </c>
      <c r="D126" s="2547"/>
      <c r="E126" s="2547"/>
      <c r="F126" s="2547"/>
      <c r="G126" s="2547"/>
      <c r="H126" s="2547"/>
      <c r="I126" s="2547"/>
      <c r="J126" s="2547"/>
      <c r="K126" s="2547"/>
      <c r="L126" s="2547"/>
      <c r="M126" s="2547"/>
      <c r="N126" s="2547"/>
      <c r="O126" s="2547"/>
      <c r="P126" s="2633"/>
      <c r="Q126" s="2634" t="s">
        <v>2131</v>
      </c>
      <c r="R126" s="2547"/>
      <c r="S126" s="2633"/>
      <c r="T126" s="2635" t="s">
        <v>2132</v>
      </c>
      <c r="U126" s="2636"/>
      <c r="V126" s="2636"/>
      <c r="W126" s="2636"/>
      <c r="X126" s="2636"/>
      <c r="Y126" s="2636"/>
      <c r="Z126" s="2636"/>
      <c r="AA126" s="2637"/>
      <c r="AB126" s="2638" t="s">
        <v>2133</v>
      </c>
      <c r="AC126" s="2639"/>
      <c r="AD126" s="2639"/>
      <c r="AE126" s="2639"/>
      <c r="AF126" s="2639"/>
      <c r="AG126" s="2640"/>
      <c r="AH126" s="1450"/>
      <c r="AI126" s="1450"/>
      <c r="AJ126" s="1450"/>
      <c r="AK126" s="1450"/>
      <c r="AL126" s="1450"/>
      <c r="AM126" s="1450"/>
      <c r="AN126" s="1450"/>
      <c r="AO126" s="1450"/>
      <c r="AP126" s="1450"/>
      <c r="AQ126" s="1450"/>
      <c r="AR126" s="1450"/>
      <c r="AS126" s="1450"/>
      <c r="AT126" s="1450"/>
      <c r="AU126" s="1450"/>
      <c r="AV126" s="1450"/>
      <c r="AW126" s="1450"/>
      <c r="AX126" s="1450"/>
      <c r="AY126" s="1450"/>
      <c r="AZ126" s="1450"/>
      <c r="BA126" s="1450"/>
      <c r="BB126" s="1450"/>
      <c r="BC126" s="1450"/>
      <c r="BD126" s="1450"/>
      <c r="BE126" s="1456"/>
    </row>
    <row r="127" spans="1:57" ht="15.75" customHeight="1">
      <c r="A127" s="1679"/>
      <c r="B127" s="1450"/>
      <c r="C127" s="2537" t="s">
        <v>2134</v>
      </c>
      <c r="D127" s="2538"/>
      <c r="E127" s="2538"/>
      <c r="F127" s="2538"/>
      <c r="G127" s="2538"/>
      <c r="H127" s="2538"/>
      <c r="I127" s="2538"/>
      <c r="J127" s="2538"/>
      <c r="K127" s="2538"/>
      <c r="L127" s="2538"/>
      <c r="M127" s="2538"/>
      <c r="N127" s="2538"/>
      <c r="O127" s="2538"/>
      <c r="P127" s="2551"/>
      <c r="Q127" s="2617">
        <v>55</v>
      </c>
      <c r="R127" s="2618"/>
      <c r="S127" s="2619"/>
      <c r="T127" s="2611"/>
      <c r="U127" s="2612"/>
      <c r="V127" s="2612"/>
      <c r="W127" s="2612"/>
      <c r="X127" s="2612"/>
      <c r="Y127" s="2612"/>
      <c r="Z127" s="2612"/>
      <c r="AA127" s="2612"/>
      <c r="AB127" s="1464"/>
      <c r="AC127" s="1465"/>
      <c r="AD127" s="1465"/>
      <c r="AE127" s="1465"/>
      <c r="AF127" s="1465"/>
      <c r="AG127" s="1466"/>
      <c r="AH127" s="1450"/>
      <c r="AI127" s="1450"/>
      <c r="AJ127" s="1450"/>
      <c r="AK127" s="1450"/>
      <c r="AL127" s="1450"/>
      <c r="AM127" s="1450"/>
      <c r="AN127" s="1450"/>
      <c r="AO127" s="1450"/>
      <c r="AP127" s="1450"/>
      <c r="AQ127" s="1450"/>
      <c r="AR127" s="1450"/>
      <c r="AS127" s="1450"/>
      <c r="AT127" s="1450"/>
      <c r="AU127" s="1450"/>
      <c r="AV127" s="1450"/>
      <c r="AW127" s="1450"/>
      <c r="AX127" s="1450"/>
      <c r="AY127" s="1450"/>
      <c r="AZ127" s="1450"/>
      <c r="BA127" s="1450"/>
      <c r="BB127" s="1450"/>
      <c r="BC127" s="1450"/>
      <c r="BD127" s="1450"/>
      <c r="BE127" s="1456"/>
    </row>
    <row r="128" spans="1:57" ht="15.75" customHeight="1">
      <c r="A128" s="1679"/>
      <c r="B128" s="1450"/>
      <c r="C128" s="2537" t="s">
        <v>432</v>
      </c>
      <c r="D128" s="2538"/>
      <c r="E128" s="2538"/>
      <c r="F128" s="2538"/>
      <c r="G128" s="2538"/>
      <c r="H128" s="2538"/>
      <c r="I128" s="2538"/>
      <c r="J128" s="2538"/>
      <c r="K128" s="2538"/>
      <c r="L128" s="2538"/>
      <c r="M128" s="2538"/>
      <c r="N128" s="2538"/>
      <c r="O128" s="2538"/>
      <c r="P128" s="2551"/>
      <c r="Q128" s="2617">
        <v>55</v>
      </c>
      <c r="R128" s="2618"/>
      <c r="S128" s="2619"/>
      <c r="T128" s="2625" t="str">
        <f>_xlfn.CONCAT(Application!AC515,"/", Application!AH515)</f>
        <v>N/A/</v>
      </c>
      <c r="U128" s="2626"/>
      <c r="V128" s="2626"/>
      <c r="W128" s="2626"/>
      <c r="X128" s="2626"/>
      <c r="Y128" s="2626"/>
      <c r="Z128" s="2626"/>
      <c r="AA128" s="2626"/>
      <c r="AB128" s="1467"/>
      <c r="AC128" s="1468"/>
      <c r="AD128" s="1468"/>
      <c r="AE128" s="1468"/>
      <c r="AF128" s="1468"/>
      <c r="AG128" s="1469"/>
      <c r="AH128" s="1450"/>
      <c r="AI128" s="1450"/>
      <c r="AJ128" s="1450"/>
      <c r="AK128" s="1450"/>
      <c r="AL128" s="1450"/>
      <c r="AM128" s="1450"/>
      <c r="AN128" s="1450"/>
      <c r="AO128" s="1450"/>
      <c r="AP128" s="1450"/>
      <c r="AQ128" s="1450"/>
      <c r="AR128" s="1450"/>
      <c r="AS128" s="1450"/>
      <c r="AT128" s="1450"/>
      <c r="AU128" s="1450"/>
      <c r="AV128" s="1450"/>
      <c r="AW128" s="1450"/>
      <c r="AX128" s="1450"/>
      <c r="AY128" s="1450"/>
      <c r="AZ128" s="1450"/>
      <c r="BA128" s="1450"/>
      <c r="BB128" s="1450"/>
      <c r="BC128" s="1450"/>
      <c r="BD128" s="1450"/>
      <c r="BE128" s="1456"/>
    </row>
    <row r="129" spans="1:57" ht="15.75" customHeight="1">
      <c r="A129" s="1679"/>
      <c r="B129" s="1450"/>
      <c r="C129" s="2537" t="s">
        <v>2135</v>
      </c>
      <c r="D129" s="2538"/>
      <c r="E129" s="2538"/>
      <c r="F129" s="2538"/>
      <c r="G129" s="2538"/>
      <c r="H129" s="2538"/>
      <c r="I129" s="2538"/>
      <c r="J129" s="2538"/>
      <c r="K129" s="2538"/>
      <c r="L129" s="2538"/>
      <c r="M129" s="2538"/>
      <c r="N129" s="2538"/>
      <c r="O129" s="2538"/>
      <c r="P129" s="2551"/>
      <c r="Q129" s="2617">
        <v>55</v>
      </c>
      <c r="R129" s="2618"/>
      <c r="S129" s="2619"/>
      <c r="T129" s="2620"/>
      <c r="U129" s="2621"/>
      <c r="V129" s="2621"/>
      <c r="W129" s="2621"/>
      <c r="X129" s="2621"/>
      <c r="Y129" s="2621"/>
      <c r="Z129" s="2621"/>
      <c r="AA129" s="2621"/>
      <c r="AB129" s="1467"/>
      <c r="AC129" s="1468"/>
      <c r="AD129" s="1468"/>
      <c r="AE129" s="1468"/>
      <c r="AF129" s="1468"/>
      <c r="AG129" s="1469"/>
      <c r="AH129" s="1450"/>
      <c r="AI129" s="1450"/>
      <c r="AJ129" s="1450"/>
      <c r="AK129" s="1450"/>
      <c r="AL129" s="1450"/>
      <c r="AM129" s="1450"/>
      <c r="AN129" s="1450"/>
      <c r="AO129" s="1450"/>
      <c r="AP129" s="1450"/>
      <c r="AQ129" s="1450"/>
      <c r="AR129" s="1450"/>
      <c r="AS129" s="1450"/>
      <c r="AT129" s="1450"/>
      <c r="AU129" s="1450"/>
      <c r="AV129" s="1450"/>
      <c r="AW129" s="1450"/>
      <c r="AX129" s="1450"/>
      <c r="AY129" s="1450"/>
      <c r="AZ129" s="1450"/>
      <c r="BA129" s="1450"/>
      <c r="BB129" s="1450"/>
      <c r="BC129" s="1450"/>
      <c r="BD129" s="1450"/>
      <c r="BE129" s="1456"/>
    </row>
    <row r="130" spans="1:57" ht="15.75" customHeight="1" thickBot="1">
      <c r="A130" s="1679"/>
      <c r="B130" s="1450"/>
      <c r="C130" s="2537" t="s">
        <v>2136</v>
      </c>
      <c r="D130" s="2538"/>
      <c r="E130" s="2538"/>
      <c r="F130" s="2538"/>
      <c r="G130" s="2538"/>
      <c r="H130" s="2538"/>
      <c r="I130" s="2538"/>
      <c r="J130" s="2538"/>
      <c r="K130" s="2538"/>
      <c r="L130" s="2538"/>
      <c r="M130" s="2538"/>
      <c r="N130" s="2538"/>
      <c r="O130" s="2538"/>
      <c r="P130" s="2551"/>
      <c r="Q130" s="2622"/>
      <c r="R130" s="2623"/>
      <c r="S130" s="2624"/>
      <c r="T130" s="2611"/>
      <c r="U130" s="2612"/>
      <c r="V130" s="2612"/>
      <c r="W130" s="2612"/>
      <c r="X130" s="2612"/>
      <c r="Y130" s="2612"/>
      <c r="Z130" s="2612"/>
      <c r="AA130" s="2612"/>
      <c r="AB130" s="1470"/>
      <c r="AC130" s="1471"/>
      <c r="AD130" s="1471"/>
      <c r="AE130" s="1471"/>
      <c r="AF130" s="1471"/>
      <c r="AG130" s="1472"/>
      <c r="AH130" s="1450"/>
      <c r="AI130" s="1450"/>
      <c r="AJ130" s="1450"/>
      <c r="AK130" s="1450"/>
      <c r="AL130" s="1450"/>
      <c r="AM130" s="1450"/>
      <c r="AN130" s="1450"/>
      <c r="AO130" s="1450"/>
      <c r="AP130" s="1450"/>
      <c r="AQ130" s="1450"/>
      <c r="AR130" s="1450"/>
      <c r="AS130" s="1450"/>
      <c r="AT130" s="1450"/>
      <c r="AU130" s="1450"/>
      <c r="AV130" s="1450"/>
      <c r="AW130" s="1450"/>
      <c r="AX130" s="1450"/>
      <c r="AY130" s="1450"/>
      <c r="AZ130" s="1450"/>
      <c r="BA130" s="1450"/>
      <c r="BB130" s="1450"/>
      <c r="BC130" s="1450"/>
      <c r="BD130" s="1450"/>
      <c r="BE130" s="1456"/>
    </row>
    <row r="131" spans="1:57" ht="15.75" customHeight="1">
      <c r="A131" s="1679"/>
      <c r="B131" s="1450"/>
      <c r="C131" s="2537" t="s">
        <v>2089</v>
      </c>
      <c r="D131" s="2538"/>
      <c r="E131" s="2538"/>
      <c r="F131" s="2538"/>
      <c r="G131" s="2538"/>
      <c r="H131" s="2538"/>
      <c r="I131" s="2538"/>
      <c r="J131" s="2538"/>
      <c r="K131" s="2538"/>
      <c r="L131" s="2538"/>
      <c r="M131" s="2538"/>
      <c r="N131" s="2538"/>
      <c r="O131" s="2538"/>
      <c r="P131" s="2551"/>
      <c r="Q131" s="2608">
        <f>Application!AG400</f>
        <v>0</v>
      </c>
      <c r="R131" s="2609"/>
      <c r="S131" s="2610"/>
      <c r="T131" s="2611"/>
      <c r="U131" s="2612"/>
      <c r="V131" s="2612"/>
      <c r="W131" s="2612"/>
      <c r="X131" s="2612"/>
      <c r="Y131" s="2612"/>
      <c r="Z131" s="2612"/>
      <c r="AA131" s="2613"/>
      <c r="AB131" s="2614">
        <f>Application!AE401</f>
        <v>0</v>
      </c>
      <c r="AC131" s="2615"/>
      <c r="AD131" s="2615"/>
      <c r="AE131" s="2615"/>
      <c r="AF131" s="2615"/>
      <c r="AG131" s="2616"/>
      <c r="AH131" s="1450"/>
      <c r="AI131" s="1450"/>
      <c r="AJ131" s="1450"/>
      <c r="AK131" s="1450"/>
      <c r="AL131" s="1450"/>
      <c r="AM131" s="1450"/>
      <c r="AN131" s="1450"/>
      <c r="AO131" s="1450"/>
      <c r="AP131" s="1450"/>
      <c r="AQ131" s="1450"/>
      <c r="AR131" s="1450"/>
      <c r="AS131" s="1450"/>
      <c r="AT131" s="1450"/>
      <c r="AU131" s="1450"/>
      <c r="AV131" s="1450"/>
      <c r="AW131" s="1450"/>
      <c r="AX131" s="1450"/>
      <c r="AY131" s="1450"/>
      <c r="AZ131" s="1450"/>
      <c r="BA131" s="1450"/>
      <c r="BB131" s="1450"/>
      <c r="BC131" s="1450"/>
      <c r="BD131" s="1450"/>
      <c r="BE131" s="1456"/>
    </row>
    <row r="132" spans="1:57" ht="15.75" customHeight="1" thickBot="1">
      <c r="A132" s="1679"/>
      <c r="B132" s="1450"/>
      <c r="C132" s="2596" t="s">
        <v>175</v>
      </c>
      <c r="D132" s="2597"/>
      <c r="E132" s="2597"/>
      <c r="F132" s="2528" t="s">
        <v>2137</v>
      </c>
      <c r="G132" s="2528"/>
      <c r="H132" s="2528"/>
      <c r="I132" s="2528"/>
      <c r="J132" s="2528"/>
      <c r="K132" s="2528"/>
      <c r="L132" s="2528"/>
      <c r="M132" s="2528"/>
      <c r="N132" s="2528"/>
      <c r="O132" s="2528"/>
      <c r="P132" s="2528"/>
      <c r="Q132" s="2598">
        <v>55</v>
      </c>
      <c r="R132" s="2598"/>
      <c r="S132" s="2598"/>
      <c r="T132" s="2599"/>
      <c r="U132" s="2599"/>
      <c r="V132" s="2599"/>
      <c r="W132" s="2599"/>
      <c r="X132" s="2599"/>
      <c r="Y132" s="2599"/>
      <c r="Z132" s="2599"/>
      <c r="AA132" s="2599"/>
      <c r="AB132" s="2600"/>
      <c r="AC132" s="2601"/>
      <c r="AD132" s="2601"/>
      <c r="AE132" s="2601"/>
      <c r="AF132" s="2601"/>
      <c r="AG132" s="2602"/>
      <c r="AH132" s="1450"/>
      <c r="AI132" s="1450"/>
      <c r="AJ132" s="1450"/>
      <c r="AK132" s="1450" t="s">
        <v>258</v>
      </c>
      <c r="AL132" s="1450"/>
      <c r="AM132" s="1450"/>
      <c r="AN132" s="1450"/>
      <c r="AO132" s="1450"/>
      <c r="AP132" s="1450"/>
      <c r="AQ132" s="1450"/>
      <c r="AR132" s="1450"/>
      <c r="AS132" s="1450"/>
      <c r="AT132" s="1450"/>
      <c r="AU132" s="1450"/>
      <c r="AV132" s="1450"/>
      <c r="AW132" s="1450"/>
      <c r="AX132" s="1450"/>
      <c r="AY132" s="1450"/>
      <c r="AZ132" s="1450"/>
      <c r="BA132" s="1450"/>
      <c r="BB132" s="1450"/>
      <c r="BC132" s="1450"/>
      <c r="BD132" s="1450"/>
      <c r="BE132" s="1456"/>
    </row>
    <row r="133" spans="1:57" ht="15.75" customHeight="1" thickBot="1">
      <c r="A133" s="1679"/>
      <c r="B133" s="1450"/>
      <c r="C133" s="2596" t="s">
        <v>175</v>
      </c>
      <c r="D133" s="2597"/>
      <c r="E133" s="2597"/>
      <c r="F133" s="2528" t="s">
        <v>2137</v>
      </c>
      <c r="G133" s="2528"/>
      <c r="H133" s="2528"/>
      <c r="I133" s="2528"/>
      <c r="J133" s="2528"/>
      <c r="K133" s="2528"/>
      <c r="L133" s="2528"/>
      <c r="M133" s="2528"/>
      <c r="N133" s="2528"/>
      <c r="O133" s="2528"/>
      <c r="P133" s="2528"/>
      <c r="Q133" s="2598">
        <v>55</v>
      </c>
      <c r="R133" s="2598"/>
      <c r="S133" s="2598"/>
      <c r="T133" s="2599"/>
      <c r="U133" s="2599"/>
      <c r="V133" s="2599"/>
      <c r="W133" s="2599"/>
      <c r="X133" s="2599"/>
      <c r="Y133" s="2599"/>
      <c r="Z133" s="2599"/>
      <c r="AA133" s="2599"/>
      <c r="AB133" s="2600"/>
      <c r="AC133" s="2601"/>
      <c r="AD133" s="2601"/>
      <c r="AE133" s="2601"/>
      <c r="AF133" s="2601"/>
      <c r="AG133" s="2602"/>
      <c r="AH133" s="1450"/>
      <c r="AI133" s="1450"/>
      <c r="AJ133" s="1450"/>
      <c r="AK133" s="1450"/>
      <c r="AL133" s="1450"/>
      <c r="AM133" s="1450"/>
      <c r="AN133" s="1450"/>
      <c r="AO133" s="1450"/>
      <c r="AP133" s="1450"/>
      <c r="AQ133" s="1450"/>
      <c r="AR133" s="1450"/>
      <c r="AS133" s="1450"/>
      <c r="AT133" s="1450"/>
      <c r="AU133" s="1450"/>
      <c r="AV133" s="1450"/>
      <c r="AW133" s="1450"/>
      <c r="AX133" s="1450"/>
      <c r="AY133" s="1450"/>
      <c r="AZ133" s="1450"/>
      <c r="BA133" s="1450"/>
      <c r="BB133" s="1450"/>
      <c r="BC133" s="1450"/>
      <c r="BD133" s="1450"/>
      <c r="BE133" s="1456"/>
    </row>
    <row r="134" spans="1:57" ht="15.75" customHeight="1" thickBot="1">
      <c r="A134" s="1679"/>
      <c r="B134" s="1450"/>
      <c r="C134" s="2596" t="s">
        <v>175</v>
      </c>
      <c r="D134" s="2597"/>
      <c r="E134" s="2597"/>
      <c r="F134" s="2513" t="s">
        <v>2137</v>
      </c>
      <c r="G134" s="2513"/>
      <c r="H134" s="2513"/>
      <c r="I134" s="2513"/>
      <c r="J134" s="2513"/>
      <c r="K134" s="2513"/>
      <c r="L134" s="2513"/>
      <c r="M134" s="2513"/>
      <c r="N134" s="2513"/>
      <c r="O134" s="2513"/>
      <c r="P134" s="2513"/>
      <c r="Q134" s="2603">
        <v>55</v>
      </c>
      <c r="R134" s="2603"/>
      <c r="S134" s="2603"/>
      <c r="T134" s="2604"/>
      <c r="U134" s="2604"/>
      <c r="V134" s="2604"/>
      <c r="W134" s="2604"/>
      <c r="X134" s="2604"/>
      <c r="Y134" s="2604"/>
      <c r="Z134" s="2604"/>
      <c r="AA134" s="2604"/>
      <c r="AB134" s="2605"/>
      <c r="AC134" s="2606"/>
      <c r="AD134" s="2606"/>
      <c r="AE134" s="2606"/>
      <c r="AF134" s="2606"/>
      <c r="AG134" s="2607"/>
      <c r="AH134" s="1450"/>
      <c r="AI134" s="1450"/>
      <c r="AJ134" s="1450"/>
      <c r="AK134" s="1450"/>
      <c r="AL134" s="1450"/>
      <c r="AM134" s="1450"/>
      <c r="AN134" s="1450"/>
      <c r="AO134" s="1450"/>
      <c r="AP134" s="1450"/>
      <c r="AQ134" s="1450"/>
      <c r="AR134" s="1450"/>
      <c r="AS134" s="1450"/>
      <c r="AT134" s="1450"/>
      <c r="AU134" s="1450"/>
      <c r="AV134" s="1450"/>
      <c r="AW134" s="1450"/>
      <c r="AX134" s="1450"/>
      <c r="AY134" s="1450"/>
      <c r="AZ134" s="1450"/>
      <c r="BA134" s="1450"/>
      <c r="BB134" s="1450"/>
      <c r="BC134" s="1450"/>
      <c r="BD134" s="1450"/>
      <c r="BE134" s="1456"/>
    </row>
    <row r="135" spans="1:57" ht="15.75" customHeight="1" thickBot="1">
      <c r="A135" s="1679"/>
      <c r="B135" s="1450"/>
      <c r="C135" s="1450"/>
      <c r="D135" s="1450"/>
      <c r="E135" s="1450"/>
      <c r="F135" s="1450"/>
      <c r="G135" s="1450"/>
      <c r="H135" s="1450"/>
      <c r="I135" s="1450"/>
      <c r="J135" s="1450"/>
      <c r="K135" s="1450"/>
      <c r="L135" s="1450"/>
      <c r="M135" s="1450"/>
      <c r="N135" s="1450"/>
      <c r="O135" s="1450"/>
      <c r="P135" s="1450"/>
      <c r="Q135" s="1450"/>
      <c r="R135" s="1450"/>
      <c r="S135" s="1450"/>
      <c r="T135" s="1450"/>
      <c r="U135" s="1450"/>
      <c r="V135" s="1450"/>
      <c r="W135" s="1450"/>
      <c r="X135" s="1450"/>
      <c r="Y135" s="1450"/>
      <c r="Z135" s="1450"/>
      <c r="AA135" s="1450"/>
      <c r="AB135" s="1450"/>
      <c r="AC135" s="1450"/>
      <c r="AD135" s="1450"/>
      <c r="AE135" s="1450"/>
      <c r="AF135" s="1450"/>
      <c r="AG135" s="1450"/>
      <c r="AH135" s="1450"/>
      <c r="AI135" s="1450"/>
      <c r="AJ135" s="1450"/>
      <c r="AK135" s="1450"/>
      <c r="AL135" s="1450"/>
      <c r="AM135" s="1450"/>
      <c r="AN135" s="1450"/>
      <c r="AO135" s="1450"/>
      <c r="AP135" s="1450"/>
      <c r="AQ135" s="1450"/>
      <c r="AR135" s="1450"/>
      <c r="AS135" s="1450"/>
      <c r="AT135" s="1450"/>
      <c r="AU135" s="1450"/>
      <c r="AV135" s="1450"/>
      <c r="AW135" s="1450"/>
      <c r="AX135" s="1450"/>
      <c r="AY135" s="1450"/>
      <c r="AZ135" s="1450"/>
      <c r="BA135" s="1450"/>
      <c r="BB135" s="1450"/>
      <c r="BC135" s="1450"/>
      <c r="BD135" s="1450"/>
      <c r="BE135" s="1456"/>
    </row>
    <row r="136" spans="1:57" ht="15.75" customHeight="1" thickBot="1">
      <c r="A136" s="1679"/>
      <c r="B136" s="1450"/>
      <c r="C136" s="2581" t="s">
        <v>2138</v>
      </c>
      <c r="D136" s="2582"/>
      <c r="E136" s="2582"/>
      <c r="F136" s="2582"/>
      <c r="G136" s="2582"/>
      <c r="H136" s="2582"/>
      <c r="I136" s="2582"/>
      <c r="J136" s="2582"/>
      <c r="K136" s="2582"/>
      <c r="L136" s="2582"/>
      <c r="M136" s="2582"/>
      <c r="N136" s="2583"/>
      <c r="O136" s="1450"/>
      <c r="P136" s="2584" t="s">
        <v>2139</v>
      </c>
      <c r="Q136" s="2585"/>
      <c r="R136" s="2585"/>
      <c r="S136" s="2585"/>
      <c r="T136" s="2585"/>
      <c r="U136" s="2585"/>
      <c r="V136" s="2585"/>
      <c r="W136" s="2585"/>
      <c r="X136" s="2585"/>
      <c r="Y136" s="2585"/>
      <c r="Z136" s="2585"/>
      <c r="AA136" s="2585"/>
      <c r="AB136" s="2585"/>
      <c r="AC136" s="2585"/>
      <c r="AD136" s="2585"/>
      <c r="AE136" s="2585"/>
      <c r="AF136" s="2585"/>
      <c r="AG136" s="2585"/>
      <c r="AH136" s="2585"/>
      <c r="AI136" s="2585"/>
      <c r="AJ136" s="2585"/>
      <c r="AK136" s="2585"/>
      <c r="AL136" s="2585"/>
      <c r="AM136" s="2585"/>
      <c r="AN136" s="2585"/>
      <c r="AO136" s="2586"/>
      <c r="AP136" s="1450"/>
      <c r="AQ136" s="1450"/>
      <c r="AR136" s="1450"/>
      <c r="AS136" s="1450"/>
      <c r="AT136" s="1450"/>
      <c r="AU136" s="1450"/>
      <c r="AV136" s="1450"/>
      <c r="AW136" s="1450"/>
      <c r="AX136" s="1450"/>
      <c r="AY136" s="1450"/>
      <c r="AZ136" s="1450"/>
      <c r="BA136" s="1450"/>
      <c r="BB136" s="1450"/>
      <c r="BC136" s="1450"/>
      <c r="BD136" s="1450"/>
      <c r="BE136" s="1456"/>
    </row>
    <row r="137" spans="1:57" ht="15.75" customHeight="1">
      <c r="A137" s="1679"/>
      <c r="B137" s="1450"/>
      <c r="C137" s="2587" t="s">
        <v>2140</v>
      </c>
      <c r="D137" s="2588"/>
      <c r="E137" s="2588"/>
      <c r="F137" s="2588"/>
      <c r="G137" s="2588"/>
      <c r="H137" s="2589"/>
      <c r="I137" s="2587" t="s">
        <v>2141</v>
      </c>
      <c r="J137" s="2588"/>
      <c r="K137" s="2588"/>
      <c r="L137" s="2588"/>
      <c r="M137" s="2588"/>
      <c r="N137" s="2589"/>
      <c r="O137" s="1450"/>
      <c r="P137" s="2590"/>
      <c r="Q137" s="2591"/>
      <c r="R137" s="2591"/>
      <c r="S137" s="2591"/>
      <c r="T137" s="2591"/>
      <c r="U137" s="2591"/>
      <c r="V137" s="2591"/>
      <c r="W137" s="2591"/>
      <c r="X137" s="2591"/>
      <c r="Y137" s="2591"/>
      <c r="Z137" s="2591"/>
      <c r="AA137" s="2591"/>
      <c r="AB137" s="2591"/>
      <c r="AC137" s="2591"/>
      <c r="AD137" s="2591"/>
      <c r="AE137" s="2591"/>
      <c r="AF137" s="2591"/>
      <c r="AG137" s="2591"/>
      <c r="AH137" s="2591"/>
      <c r="AI137" s="2591"/>
      <c r="AJ137" s="2591"/>
      <c r="AK137" s="2591"/>
      <c r="AL137" s="2591"/>
      <c r="AM137" s="2591"/>
      <c r="AN137" s="2591"/>
      <c r="AO137" s="2592"/>
      <c r="AP137" s="1450"/>
      <c r="AQ137" s="1450"/>
      <c r="AR137" s="1450"/>
      <c r="AS137" s="1450"/>
      <c r="AT137" s="1450"/>
      <c r="AU137" s="1450"/>
      <c r="AV137" s="1450"/>
      <c r="AW137" s="1450"/>
      <c r="AX137" s="1450"/>
      <c r="AY137" s="1450"/>
      <c r="AZ137" s="1450"/>
      <c r="BA137" s="1450"/>
      <c r="BB137" s="1450"/>
      <c r="BC137" s="1450"/>
      <c r="BD137" s="1450"/>
      <c r="BE137" s="1456"/>
    </row>
    <row r="138" spans="1:57" ht="15.75" customHeight="1">
      <c r="A138" s="1679"/>
      <c r="B138" s="1450"/>
      <c r="C138" s="2569"/>
      <c r="D138" s="2569"/>
      <c r="E138" s="2569"/>
      <c r="F138" s="2569"/>
      <c r="G138" s="2569"/>
      <c r="H138" s="2569"/>
      <c r="I138" s="2570"/>
      <c r="J138" s="2570"/>
      <c r="K138" s="2570"/>
      <c r="L138" s="2570"/>
      <c r="M138" s="2570"/>
      <c r="N138" s="2570"/>
      <c r="O138" s="1450"/>
      <c r="P138" s="2590"/>
      <c r="Q138" s="2591"/>
      <c r="R138" s="2591"/>
      <c r="S138" s="2591"/>
      <c r="T138" s="2591"/>
      <c r="U138" s="2591"/>
      <c r="V138" s="2591"/>
      <c r="W138" s="2591"/>
      <c r="X138" s="2591"/>
      <c r="Y138" s="2591"/>
      <c r="Z138" s="2591"/>
      <c r="AA138" s="2591"/>
      <c r="AB138" s="2591"/>
      <c r="AC138" s="2591"/>
      <c r="AD138" s="2591"/>
      <c r="AE138" s="2591"/>
      <c r="AF138" s="2591"/>
      <c r="AG138" s="2591"/>
      <c r="AH138" s="2591"/>
      <c r="AI138" s="2591"/>
      <c r="AJ138" s="2591"/>
      <c r="AK138" s="2591"/>
      <c r="AL138" s="2591"/>
      <c r="AM138" s="2591"/>
      <c r="AN138" s="2591"/>
      <c r="AO138" s="2592"/>
      <c r="AP138" s="1450"/>
      <c r="AQ138" s="1450"/>
      <c r="AR138" s="1450"/>
      <c r="AS138" s="1450"/>
      <c r="AT138" s="1450"/>
      <c r="AU138" s="1450"/>
      <c r="AV138" s="1450"/>
      <c r="AW138" s="1450"/>
      <c r="AX138" s="1450"/>
      <c r="AY138" s="1450"/>
      <c r="AZ138" s="1450"/>
      <c r="BA138" s="1450"/>
      <c r="BB138" s="1450"/>
      <c r="BC138" s="1450"/>
      <c r="BD138" s="1450"/>
      <c r="BE138" s="1456"/>
    </row>
    <row r="139" spans="1:57" ht="15.75" customHeight="1">
      <c r="A139" s="1679"/>
      <c r="B139" s="1450"/>
      <c r="C139" s="2569"/>
      <c r="D139" s="2569"/>
      <c r="E139" s="2569"/>
      <c r="F139" s="2569"/>
      <c r="G139" s="2569"/>
      <c r="H139" s="2569"/>
      <c r="I139" s="2570"/>
      <c r="J139" s="2570"/>
      <c r="K139" s="2570"/>
      <c r="L139" s="2570"/>
      <c r="M139" s="2570"/>
      <c r="N139" s="2570"/>
      <c r="O139" s="1450"/>
      <c r="P139" s="2590"/>
      <c r="Q139" s="2591"/>
      <c r="R139" s="2591"/>
      <c r="S139" s="2591"/>
      <c r="T139" s="2591"/>
      <c r="U139" s="2591"/>
      <c r="V139" s="2591"/>
      <c r="W139" s="2591"/>
      <c r="X139" s="2591"/>
      <c r="Y139" s="2591"/>
      <c r="Z139" s="2591"/>
      <c r="AA139" s="2591"/>
      <c r="AB139" s="2591"/>
      <c r="AC139" s="2591"/>
      <c r="AD139" s="2591"/>
      <c r="AE139" s="2591"/>
      <c r="AF139" s="2591"/>
      <c r="AG139" s="2591"/>
      <c r="AH139" s="2591"/>
      <c r="AI139" s="2591"/>
      <c r="AJ139" s="2591"/>
      <c r="AK139" s="2591"/>
      <c r="AL139" s="2591"/>
      <c r="AM139" s="2591"/>
      <c r="AN139" s="2591"/>
      <c r="AO139" s="2592"/>
      <c r="AP139" s="1450"/>
      <c r="AQ139" s="1450"/>
      <c r="AR139" s="1450"/>
      <c r="AS139" s="1450"/>
      <c r="AT139" s="1450"/>
      <c r="AU139" s="1450"/>
      <c r="AV139" s="1450"/>
      <c r="AW139" s="1450"/>
      <c r="AX139" s="1450"/>
      <c r="AY139" s="1450"/>
      <c r="AZ139" s="1450"/>
      <c r="BA139" s="1450"/>
      <c r="BB139" s="1450"/>
      <c r="BC139" s="1450"/>
      <c r="BD139" s="1450"/>
      <c r="BE139" s="1456"/>
    </row>
    <row r="140" spans="1:57" ht="15.75" customHeight="1">
      <c r="A140" s="1679"/>
      <c r="B140" s="1450"/>
      <c r="C140" s="2569"/>
      <c r="D140" s="2569"/>
      <c r="E140" s="2569"/>
      <c r="F140" s="2569"/>
      <c r="G140" s="2569"/>
      <c r="H140" s="2569"/>
      <c r="I140" s="2570"/>
      <c r="J140" s="2570"/>
      <c r="K140" s="2570"/>
      <c r="L140" s="2570"/>
      <c r="M140" s="2570"/>
      <c r="N140" s="2570"/>
      <c r="O140" s="1450"/>
      <c r="P140" s="2590"/>
      <c r="Q140" s="2591"/>
      <c r="R140" s="2591"/>
      <c r="S140" s="2591"/>
      <c r="T140" s="2591"/>
      <c r="U140" s="2591"/>
      <c r="V140" s="2591"/>
      <c r="W140" s="2591"/>
      <c r="X140" s="2591"/>
      <c r="Y140" s="2591"/>
      <c r="Z140" s="2591"/>
      <c r="AA140" s="2591"/>
      <c r="AB140" s="2591"/>
      <c r="AC140" s="2591"/>
      <c r="AD140" s="2591"/>
      <c r="AE140" s="2591"/>
      <c r="AF140" s="2591"/>
      <c r="AG140" s="2591"/>
      <c r="AH140" s="2591"/>
      <c r="AI140" s="2591"/>
      <c r="AJ140" s="2591"/>
      <c r="AK140" s="2591"/>
      <c r="AL140" s="2591"/>
      <c r="AM140" s="2591"/>
      <c r="AN140" s="2591"/>
      <c r="AO140" s="2592"/>
      <c r="AP140" s="1450"/>
      <c r="AQ140" s="1450"/>
      <c r="AR140" s="1450"/>
      <c r="AS140" s="1450"/>
      <c r="AT140" s="1450"/>
      <c r="AU140" s="1450"/>
      <c r="AV140" s="1450"/>
      <c r="AW140" s="1450"/>
      <c r="AX140" s="1450"/>
      <c r="AY140" s="1450"/>
      <c r="AZ140" s="1450"/>
      <c r="BA140" s="1450"/>
      <c r="BB140" s="1450"/>
      <c r="BC140" s="1450"/>
      <c r="BD140" s="1450"/>
      <c r="BE140" s="1456"/>
    </row>
    <row r="141" spans="1:57" ht="15.75" customHeight="1">
      <c r="A141" s="1679"/>
      <c r="B141" s="1450"/>
      <c r="C141" s="2569"/>
      <c r="D141" s="2569"/>
      <c r="E141" s="2569"/>
      <c r="F141" s="2569"/>
      <c r="G141" s="2569"/>
      <c r="H141" s="2569"/>
      <c r="I141" s="2570"/>
      <c r="J141" s="2570"/>
      <c r="K141" s="2570"/>
      <c r="L141" s="2570"/>
      <c r="M141" s="2570"/>
      <c r="N141" s="2570"/>
      <c r="O141" s="1450"/>
      <c r="P141" s="2590"/>
      <c r="Q141" s="2591"/>
      <c r="R141" s="2591"/>
      <c r="S141" s="2591"/>
      <c r="T141" s="2591"/>
      <c r="U141" s="2591"/>
      <c r="V141" s="2591"/>
      <c r="W141" s="2591"/>
      <c r="X141" s="2591"/>
      <c r="Y141" s="2591"/>
      <c r="Z141" s="2591"/>
      <c r="AA141" s="2591"/>
      <c r="AB141" s="2591"/>
      <c r="AC141" s="2591"/>
      <c r="AD141" s="2591"/>
      <c r="AE141" s="2591"/>
      <c r="AF141" s="2591"/>
      <c r="AG141" s="2591"/>
      <c r="AH141" s="2591"/>
      <c r="AI141" s="2591"/>
      <c r="AJ141" s="2591"/>
      <c r="AK141" s="2591"/>
      <c r="AL141" s="2591"/>
      <c r="AM141" s="2591"/>
      <c r="AN141" s="2591"/>
      <c r="AO141" s="2592"/>
      <c r="AP141" s="1450"/>
      <c r="AQ141" s="1450"/>
      <c r="AR141" s="1450"/>
      <c r="AS141" s="1450"/>
      <c r="AT141" s="1450"/>
      <c r="AU141" s="1450"/>
      <c r="AV141" s="1450"/>
      <c r="AW141" s="1450"/>
      <c r="AX141" s="1450"/>
      <c r="AY141" s="1450"/>
      <c r="AZ141" s="1450"/>
      <c r="BA141" s="1450"/>
      <c r="BB141" s="1450"/>
      <c r="BC141" s="1450"/>
      <c r="BD141" s="1450"/>
      <c r="BE141" s="1456"/>
    </row>
    <row r="142" spans="1:57" ht="15.75" customHeight="1">
      <c r="A142" s="1679"/>
      <c r="B142" s="1450"/>
      <c r="C142" s="2569"/>
      <c r="D142" s="2569"/>
      <c r="E142" s="2569"/>
      <c r="F142" s="2569"/>
      <c r="G142" s="2569"/>
      <c r="H142" s="2569"/>
      <c r="I142" s="2570"/>
      <c r="J142" s="2570"/>
      <c r="K142" s="2570"/>
      <c r="L142" s="2570"/>
      <c r="M142" s="2570"/>
      <c r="N142" s="2570"/>
      <c r="O142" s="1450"/>
      <c r="P142" s="2590"/>
      <c r="Q142" s="2591"/>
      <c r="R142" s="2591"/>
      <c r="S142" s="2591"/>
      <c r="T142" s="2591"/>
      <c r="U142" s="2591"/>
      <c r="V142" s="2591"/>
      <c r="W142" s="2591"/>
      <c r="X142" s="2591"/>
      <c r="Y142" s="2591"/>
      <c r="Z142" s="2591"/>
      <c r="AA142" s="2591"/>
      <c r="AB142" s="2591"/>
      <c r="AC142" s="2591"/>
      <c r="AD142" s="2591"/>
      <c r="AE142" s="2591"/>
      <c r="AF142" s="2591"/>
      <c r="AG142" s="2591"/>
      <c r="AH142" s="2591"/>
      <c r="AI142" s="2591"/>
      <c r="AJ142" s="2591"/>
      <c r="AK142" s="2591"/>
      <c r="AL142" s="2591"/>
      <c r="AM142" s="2591"/>
      <c r="AN142" s="2591"/>
      <c r="AO142" s="2592"/>
      <c r="AP142" s="1450"/>
      <c r="AQ142" s="1450"/>
      <c r="AR142" s="1450"/>
      <c r="AS142" s="1450"/>
      <c r="AT142" s="1450"/>
      <c r="AU142" s="1450"/>
      <c r="AV142" s="1450"/>
      <c r="AW142" s="1450"/>
      <c r="AX142" s="1450"/>
      <c r="AY142" s="1450"/>
      <c r="AZ142" s="1450"/>
      <c r="BA142" s="1450"/>
      <c r="BB142" s="1450"/>
      <c r="BC142" s="1450"/>
      <c r="BD142" s="1450"/>
      <c r="BE142" s="1456"/>
    </row>
    <row r="143" spans="1:57" ht="15.75" customHeight="1">
      <c r="A143" s="1679"/>
      <c r="B143" s="1450"/>
      <c r="C143" s="2569"/>
      <c r="D143" s="2569"/>
      <c r="E143" s="2569"/>
      <c r="F143" s="2569"/>
      <c r="G143" s="2569"/>
      <c r="H143" s="2569"/>
      <c r="I143" s="2570"/>
      <c r="J143" s="2570"/>
      <c r="K143" s="2570"/>
      <c r="L143" s="2570"/>
      <c r="M143" s="2570"/>
      <c r="N143" s="2570"/>
      <c r="O143" s="1450"/>
      <c r="P143" s="2590"/>
      <c r="Q143" s="2591"/>
      <c r="R143" s="2591"/>
      <c r="S143" s="2591"/>
      <c r="T143" s="2591"/>
      <c r="U143" s="2591"/>
      <c r="V143" s="2591"/>
      <c r="W143" s="2591"/>
      <c r="X143" s="2591"/>
      <c r="Y143" s="2591"/>
      <c r="Z143" s="2591"/>
      <c r="AA143" s="2591"/>
      <c r="AB143" s="2591"/>
      <c r="AC143" s="2591"/>
      <c r="AD143" s="2591"/>
      <c r="AE143" s="2591"/>
      <c r="AF143" s="2591"/>
      <c r="AG143" s="2591"/>
      <c r="AH143" s="2591"/>
      <c r="AI143" s="2591"/>
      <c r="AJ143" s="2591"/>
      <c r="AK143" s="2591"/>
      <c r="AL143" s="2591"/>
      <c r="AM143" s="2591"/>
      <c r="AN143" s="2591"/>
      <c r="AO143" s="2592"/>
      <c r="AP143" s="1450"/>
      <c r="AQ143" s="1450"/>
      <c r="AR143" s="1450"/>
      <c r="AS143" s="1450"/>
      <c r="AT143" s="1450"/>
      <c r="AU143" s="1450"/>
      <c r="AV143" s="1450"/>
      <c r="AW143" s="1450"/>
      <c r="AX143" s="1450"/>
      <c r="AY143" s="1450"/>
      <c r="AZ143" s="1450"/>
      <c r="BA143" s="1450"/>
      <c r="BB143" s="1450"/>
      <c r="BC143" s="1450"/>
      <c r="BD143" s="1450"/>
      <c r="BE143" s="1456"/>
    </row>
    <row r="144" spans="1:57" ht="15.75" customHeight="1" thickBot="1">
      <c r="A144" s="1679"/>
      <c r="B144" s="1450"/>
      <c r="C144" s="2569"/>
      <c r="D144" s="2569"/>
      <c r="E144" s="2569"/>
      <c r="F144" s="2569"/>
      <c r="G144" s="2569"/>
      <c r="H144" s="2569"/>
      <c r="I144" s="2570"/>
      <c r="J144" s="2570"/>
      <c r="K144" s="2570"/>
      <c r="L144" s="2570"/>
      <c r="M144" s="2570"/>
      <c r="N144" s="2570"/>
      <c r="O144" s="1450"/>
      <c r="P144" s="2593"/>
      <c r="Q144" s="2594"/>
      <c r="R144" s="2594"/>
      <c r="S144" s="2594"/>
      <c r="T144" s="2594"/>
      <c r="U144" s="2594"/>
      <c r="V144" s="2594"/>
      <c r="W144" s="2594"/>
      <c r="X144" s="2594"/>
      <c r="Y144" s="2594"/>
      <c r="Z144" s="2594"/>
      <c r="AA144" s="2594"/>
      <c r="AB144" s="2594"/>
      <c r="AC144" s="2594"/>
      <c r="AD144" s="2594"/>
      <c r="AE144" s="2594"/>
      <c r="AF144" s="2594"/>
      <c r="AG144" s="2594"/>
      <c r="AH144" s="2594"/>
      <c r="AI144" s="2594"/>
      <c r="AJ144" s="2594"/>
      <c r="AK144" s="2594"/>
      <c r="AL144" s="2594"/>
      <c r="AM144" s="2594"/>
      <c r="AN144" s="2594"/>
      <c r="AO144" s="2595"/>
      <c r="AP144" s="1450"/>
      <c r="AQ144" s="1450"/>
      <c r="AR144" s="1450"/>
      <c r="AS144" s="1450"/>
      <c r="AT144" s="1450"/>
      <c r="AU144" s="1450"/>
      <c r="AV144" s="1450"/>
      <c r="AW144" s="1450"/>
      <c r="AX144" s="1450"/>
      <c r="AY144" s="1450"/>
      <c r="AZ144" s="1450"/>
      <c r="BA144" s="1450"/>
      <c r="BB144" s="1450"/>
      <c r="BC144" s="1450"/>
      <c r="BD144" s="1450"/>
      <c r="BE144" s="1456"/>
    </row>
    <row r="145" spans="1:57" ht="15.75" customHeight="1">
      <c r="A145" s="1679"/>
      <c r="B145" s="1450"/>
      <c r="C145" s="1450"/>
      <c r="D145" s="1450"/>
      <c r="E145" s="1450"/>
      <c r="F145" s="1450"/>
      <c r="G145" s="1450"/>
      <c r="H145" s="1450"/>
      <c r="I145" s="1450"/>
      <c r="J145" s="1450"/>
      <c r="K145" s="1450"/>
      <c r="L145" s="1450"/>
      <c r="M145" s="1450"/>
      <c r="N145" s="1450"/>
      <c r="O145" s="1450"/>
      <c r="P145" s="1450"/>
      <c r="Q145" s="1450"/>
      <c r="R145" s="1450"/>
      <c r="S145" s="1450"/>
      <c r="T145" s="1450"/>
      <c r="U145" s="1450"/>
      <c r="V145" s="1450"/>
      <c r="W145" s="1450"/>
      <c r="X145" s="1450"/>
      <c r="Y145" s="1450"/>
      <c r="Z145" s="1450"/>
      <c r="AA145" s="1450"/>
      <c r="AB145" s="1450"/>
      <c r="AC145" s="1450"/>
      <c r="AD145" s="1450"/>
      <c r="AE145" s="1450"/>
      <c r="AF145" s="1450"/>
      <c r="AG145" s="1450"/>
      <c r="AH145" s="1450"/>
      <c r="AI145" s="1450"/>
      <c r="AJ145" s="1450"/>
      <c r="AK145" s="1450"/>
      <c r="AL145" s="1450"/>
      <c r="AM145" s="1450"/>
      <c r="AN145" s="1450"/>
      <c r="AO145" s="1450"/>
      <c r="AP145" s="1450"/>
      <c r="AQ145" s="1450"/>
      <c r="AR145" s="1450"/>
      <c r="AS145" s="1450"/>
      <c r="AT145" s="1450"/>
      <c r="AU145" s="1450"/>
      <c r="AV145" s="1450"/>
      <c r="AW145" s="1450"/>
      <c r="AX145" s="1450"/>
      <c r="AY145" s="1450"/>
      <c r="AZ145" s="1450"/>
      <c r="BA145" s="1450"/>
      <c r="BB145" s="1450"/>
      <c r="BC145" s="1450"/>
      <c r="BD145" s="1450"/>
      <c r="BE145" s="1456"/>
    </row>
    <row r="146" spans="1:57" ht="15.75" customHeight="1">
      <c r="A146" s="1679"/>
      <c r="B146" s="1450"/>
      <c r="C146" s="1460" t="s">
        <v>2142</v>
      </c>
      <c r="J146" s="1462"/>
      <c r="K146" s="1462"/>
      <c r="L146" s="1462"/>
      <c r="M146" s="1462"/>
      <c r="N146" s="1462"/>
      <c r="O146" s="1462"/>
      <c r="P146" s="1462"/>
      <c r="Q146" s="1462"/>
      <c r="R146" s="1462"/>
      <c r="S146" s="1462"/>
      <c r="T146" s="1462"/>
      <c r="U146" s="1462"/>
      <c r="V146" s="1462"/>
      <c r="W146" s="1462"/>
      <c r="X146" s="1462"/>
      <c r="Y146" s="1462"/>
      <c r="Z146" s="1462"/>
      <c r="AA146" s="1462"/>
      <c r="AB146" s="1462"/>
      <c r="AC146" s="1462"/>
      <c r="AD146" s="1462"/>
      <c r="AE146" s="1462"/>
      <c r="AF146" s="1462"/>
      <c r="AG146" s="1462"/>
      <c r="AH146" s="1462"/>
      <c r="AI146" s="1462"/>
      <c r="AJ146" s="1462"/>
      <c r="AK146" s="1462"/>
      <c r="AL146" s="1462"/>
      <c r="AM146" s="1462"/>
      <c r="AN146" s="1450"/>
      <c r="AO146" s="1450"/>
      <c r="AP146" s="1450"/>
      <c r="AQ146" s="1450"/>
      <c r="AR146" s="1450"/>
      <c r="AS146" s="1450"/>
      <c r="AT146" s="1450"/>
      <c r="AU146" s="1450"/>
      <c r="AV146" s="1450"/>
      <c r="AW146" s="1450"/>
      <c r="AX146" s="1450"/>
      <c r="AY146" s="1450"/>
      <c r="AZ146" s="1450"/>
      <c r="BA146" s="1450"/>
      <c r="BB146" s="1450"/>
      <c r="BC146" s="1450"/>
      <c r="BD146" s="1450"/>
      <c r="BE146" s="1456"/>
    </row>
    <row r="147" spans="1:57" ht="15.75" customHeight="1">
      <c r="A147" s="1679"/>
      <c r="B147" s="1450"/>
      <c r="C147" s="1473" t="s">
        <v>2143</v>
      </c>
      <c r="D147" s="1462"/>
      <c r="E147" s="1462"/>
      <c r="F147" s="1462"/>
      <c r="G147" s="1462"/>
      <c r="H147" s="1462"/>
      <c r="I147" s="1462"/>
      <c r="J147" s="1462"/>
      <c r="K147" s="1462"/>
      <c r="L147" s="1462"/>
      <c r="M147" s="1462"/>
      <c r="N147" s="1462"/>
      <c r="O147" s="1462"/>
      <c r="P147" s="1462"/>
      <c r="Q147" s="1462"/>
      <c r="R147" s="1462"/>
      <c r="S147" s="1462"/>
      <c r="T147" s="1462"/>
      <c r="U147" s="1462"/>
      <c r="V147" s="1462"/>
      <c r="W147" s="1462"/>
      <c r="X147" s="1462"/>
      <c r="Y147" s="1462"/>
      <c r="Z147" s="1462"/>
      <c r="AA147" s="1462"/>
      <c r="AB147" s="1462"/>
      <c r="AC147" s="1462"/>
      <c r="AD147" s="1462"/>
      <c r="AE147" s="1462"/>
      <c r="AF147" s="1462"/>
      <c r="AG147" s="1462"/>
      <c r="AH147" s="1450"/>
      <c r="AI147" s="1450"/>
      <c r="AJ147" s="1450"/>
      <c r="AK147" s="1450"/>
      <c r="AL147" s="1450"/>
      <c r="AM147" s="1450"/>
      <c r="AN147" s="1450"/>
      <c r="AO147" s="1450"/>
      <c r="AP147" s="1450"/>
      <c r="AQ147" s="1450"/>
      <c r="AR147" s="1450"/>
      <c r="AS147" s="1450"/>
      <c r="AT147" s="1450"/>
      <c r="AU147" s="1450"/>
      <c r="AV147" s="1450"/>
      <c r="AW147" s="1450"/>
      <c r="AX147" s="1450"/>
      <c r="AY147" s="1450"/>
      <c r="AZ147" s="1450"/>
      <c r="BA147" s="1450"/>
      <c r="BB147" s="1450"/>
      <c r="BC147" s="1450"/>
      <c r="BD147" s="1450"/>
      <c r="BE147" s="1456"/>
    </row>
    <row r="148" spans="1:57" ht="15.75" customHeight="1" thickBot="1">
      <c r="A148" s="1679"/>
      <c r="B148" s="1450"/>
      <c r="C148" s="1450"/>
      <c r="D148" s="1450"/>
      <c r="E148" s="1450"/>
      <c r="F148" s="1450"/>
      <c r="G148" s="1450"/>
      <c r="H148" s="1450"/>
      <c r="I148" s="1450"/>
      <c r="J148" s="1450"/>
      <c r="K148" s="1450"/>
      <c r="L148" s="1457"/>
      <c r="M148" s="1450"/>
      <c r="N148" s="1450"/>
      <c r="O148" s="1450"/>
      <c r="P148" s="1450"/>
      <c r="Q148" s="1450"/>
      <c r="R148" s="1450"/>
      <c r="S148" s="1450"/>
      <c r="T148" s="1450"/>
      <c r="U148" s="1450"/>
      <c r="V148" s="1450"/>
      <c r="W148" s="1450"/>
      <c r="X148" s="1450"/>
      <c r="Y148" s="1450"/>
      <c r="Z148" s="1450"/>
      <c r="AA148" s="1450"/>
      <c r="AB148" s="1450"/>
      <c r="AC148" s="1450"/>
      <c r="AD148" s="1450"/>
      <c r="AE148" s="1450"/>
      <c r="AF148" s="1450"/>
      <c r="AG148" s="1450"/>
      <c r="AH148" s="1450"/>
      <c r="AI148" s="1450"/>
      <c r="AJ148" s="1450"/>
      <c r="AK148" s="1450"/>
      <c r="AL148" s="1450"/>
      <c r="AM148" s="1450"/>
      <c r="AN148" s="1450"/>
      <c r="AO148" s="1450"/>
      <c r="AP148" s="1450"/>
      <c r="AQ148" s="1450"/>
      <c r="AR148" s="1450"/>
      <c r="AS148" s="1450"/>
      <c r="AT148" s="1450"/>
      <c r="AU148" s="1450"/>
      <c r="AV148" s="1450"/>
      <c r="AW148" s="1450"/>
      <c r="AX148" s="1450"/>
      <c r="AY148" s="1450"/>
      <c r="AZ148" s="1450"/>
      <c r="BA148" s="1450"/>
      <c r="BB148" s="1450"/>
      <c r="BC148" s="1450"/>
      <c r="BD148" s="1450"/>
      <c r="BE148" s="1456"/>
    </row>
    <row r="149" spans="1:57" ht="15.75" customHeight="1">
      <c r="A149" s="1679"/>
      <c r="B149" s="1450"/>
      <c r="C149" s="2571"/>
      <c r="D149" s="2572"/>
      <c r="E149" s="2572"/>
      <c r="F149" s="2572"/>
      <c r="G149" s="2572"/>
      <c r="H149" s="2572"/>
      <c r="I149" s="2572"/>
      <c r="J149" s="2572"/>
      <c r="K149" s="2572"/>
      <c r="L149" s="2572"/>
      <c r="M149" s="2573"/>
      <c r="N149" s="2574" t="s">
        <v>2144</v>
      </c>
      <c r="O149" s="2574"/>
      <c r="P149" s="2574"/>
      <c r="Q149" s="2574"/>
      <c r="R149" s="2574"/>
      <c r="S149" s="2574"/>
      <c r="T149" s="2575"/>
      <c r="U149" s="2576" t="s">
        <v>2130</v>
      </c>
      <c r="V149" s="2577"/>
      <c r="W149" s="2577"/>
      <c r="X149" s="2577"/>
      <c r="Y149" s="2577"/>
      <c r="Z149" s="2577"/>
      <c r="AA149" s="2577"/>
      <c r="AB149" s="2577"/>
      <c r="AC149" s="2577"/>
      <c r="AD149" s="2577"/>
      <c r="AE149" s="2578"/>
      <c r="AF149" s="1450"/>
      <c r="AG149" s="1450"/>
      <c r="AH149" s="2579" t="s">
        <v>2145</v>
      </c>
      <c r="AI149" s="2580"/>
      <c r="AJ149" s="2580"/>
      <c r="AK149" s="2580"/>
      <c r="AL149" s="2580"/>
      <c r="AM149" s="2580"/>
      <c r="AN149" s="2580"/>
      <c r="AO149" s="2580"/>
      <c r="AP149" s="2580"/>
      <c r="AQ149" s="2580"/>
      <c r="AR149" s="2580"/>
      <c r="AS149" s="2552"/>
      <c r="AT149" s="2553"/>
      <c r="AU149" s="2553"/>
      <c r="AV149" s="2553"/>
      <c r="AW149" s="2553"/>
      <c r="AX149" s="1450"/>
      <c r="AY149" s="1450"/>
      <c r="AZ149" s="1450"/>
      <c r="BA149" s="1450"/>
      <c r="BB149" s="1450"/>
      <c r="BC149" s="1450"/>
      <c r="BD149" s="1450"/>
      <c r="BE149" s="1456"/>
    </row>
    <row r="150" spans="1:57" ht="15.75" customHeight="1">
      <c r="A150" s="1679"/>
      <c r="B150" s="1450"/>
      <c r="C150" s="2546" t="s">
        <v>2146</v>
      </c>
      <c r="D150" s="2547"/>
      <c r="E150" s="2547"/>
      <c r="F150" s="2547"/>
      <c r="G150" s="2547"/>
      <c r="H150" s="2547"/>
      <c r="I150" s="2547"/>
      <c r="J150" s="2547"/>
      <c r="K150" s="2547"/>
      <c r="L150" s="2547"/>
      <c r="M150" s="2548"/>
      <c r="N150" s="2549">
        <f>'Sources and Uses Budget'!B104</f>
        <v>3500000</v>
      </c>
      <c r="O150" s="2549"/>
      <c r="P150" s="2549"/>
      <c r="Q150" s="2549"/>
      <c r="R150" s="2549"/>
      <c r="S150" s="2549"/>
      <c r="T150" s="2550"/>
      <c r="U150" s="2559"/>
      <c r="V150" s="2560"/>
      <c r="W150" s="2560"/>
      <c r="X150" s="2560"/>
      <c r="Y150" s="2560"/>
      <c r="Z150" s="2560"/>
      <c r="AA150" s="2560"/>
      <c r="AB150" s="2560"/>
      <c r="AC150" s="2560"/>
      <c r="AD150" s="2560"/>
      <c r="AE150" s="2566"/>
      <c r="AF150" s="1450"/>
      <c r="AG150" s="1450"/>
      <c r="AH150" s="2567" t="s">
        <v>2147</v>
      </c>
      <c r="AI150" s="2568"/>
      <c r="AJ150" s="2568"/>
      <c r="AK150" s="2568"/>
      <c r="AL150" s="2568"/>
      <c r="AM150" s="2568"/>
      <c r="AN150" s="2568"/>
      <c r="AO150" s="2568"/>
      <c r="AP150" s="2568"/>
      <c r="AQ150" s="2568"/>
      <c r="AR150" s="2568"/>
      <c r="AS150" s="2552"/>
      <c r="AT150" s="2553"/>
      <c r="AU150" s="2553"/>
      <c r="AV150" s="2553"/>
      <c r="AW150" s="2553"/>
      <c r="AX150" s="1450"/>
      <c r="AY150" s="1450"/>
      <c r="AZ150" s="1450"/>
      <c r="BA150" s="1450"/>
      <c r="BB150" s="1450"/>
      <c r="BC150" s="1450"/>
      <c r="BD150" s="1450"/>
      <c r="BE150" s="1456"/>
    </row>
    <row r="151" spans="1:57" ht="15.75" customHeight="1">
      <c r="A151" s="1679"/>
      <c r="B151" s="1450"/>
      <c r="C151" s="2546" t="s">
        <v>2148</v>
      </c>
      <c r="D151" s="2547"/>
      <c r="E151" s="2547"/>
      <c r="F151" s="2547"/>
      <c r="G151" s="2547"/>
      <c r="H151" s="2547"/>
      <c r="I151" s="2547"/>
      <c r="J151" s="2547"/>
      <c r="K151" s="2547"/>
      <c r="L151" s="2547"/>
      <c r="M151" s="2548"/>
      <c r="N151" s="2549">
        <f>N150/J29</f>
        <v>53030.303030303032</v>
      </c>
      <c r="O151" s="2549"/>
      <c r="P151" s="2549"/>
      <c r="Q151" s="2549"/>
      <c r="R151" s="2549"/>
      <c r="S151" s="2549"/>
      <c r="T151" s="2550"/>
      <c r="U151" s="1474"/>
      <c r="V151" s="1474"/>
      <c r="W151" s="1474"/>
      <c r="X151" s="1474"/>
      <c r="Y151" s="1474"/>
      <c r="Z151" s="1474"/>
      <c r="AA151" s="1474"/>
      <c r="AB151" s="1474"/>
      <c r="AC151" s="1474"/>
      <c r="AD151" s="1474"/>
      <c r="AE151" s="1475"/>
      <c r="AF151" s="1450"/>
      <c r="AG151" s="1450"/>
      <c r="AH151" s="2537" t="s">
        <v>2149</v>
      </c>
      <c r="AI151" s="2538"/>
      <c r="AJ151" s="2538"/>
      <c r="AK151" s="2538"/>
      <c r="AL151" s="2538"/>
      <c r="AM151" s="2538"/>
      <c r="AN151" s="2538"/>
      <c r="AO151" s="2538"/>
      <c r="AP151" s="2538"/>
      <c r="AQ151" s="2538"/>
      <c r="AR151" s="2551"/>
      <c r="AS151" s="2552"/>
      <c r="AT151" s="2553"/>
      <c r="AU151" s="2553"/>
      <c r="AV151" s="2553"/>
      <c r="AW151" s="2553"/>
      <c r="AX151" s="1450"/>
      <c r="AY151" s="1450"/>
      <c r="AZ151" s="1450"/>
      <c r="BA151" s="1450"/>
      <c r="BB151" s="1450"/>
      <c r="BC151" s="1450"/>
      <c r="BD151" s="1450"/>
      <c r="BE151" s="1456"/>
    </row>
    <row r="152" spans="1:57" ht="15.75" customHeight="1">
      <c r="A152" s="1679"/>
      <c r="B152" s="1450"/>
      <c r="C152" s="2554" t="s">
        <v>2150</v>
      </c>
      <c r="D152" s="2555"/>
      <c r="E152" s="2555"/>
      <c r="F152" s="2555"/>
      <c r="G152" s="2555"/>
      <c r="H152" s="2555"/>
      <c r="I152" s="2555"/>
      <c r="J152" s="2555"/>
      <c r="K152" s="2555"/>
      <c r="L152" s="2555"/>
      <c r="M152" s="2556"/>
      <c r="N152" s="2557"/>
      <c r="O152" s="2557"/>
      <c r="P152" s="2557"/>
      <c r="Q152" s="2557"/>
      <c r="R152" s="2557"/>
      <c r="S152" s="2557"/>
      <c r="T152" s="2558"/>
      <c r="U152" s="2535"/>
      <c r="V152" s="2536"/>
      <c r="W152" s="2536"/>
      <c r="X152" s="2536"/>
      <c r="Y152" s="2536"/>
      <c r="Z152" s="2536"/>
      <c r="AA152" s="2536"/>
      <c r="AB152" s="2536"/>
      <c r="AC152" s="2536"/>
      <c r="AD152" s="2536"/>
      <c r="AE152" s="2565"/>
      <c r="AF152" s="1450"/>
      <c r="AG152" s="1450"/>
      <c r="AH152" s="2559"/>
      <c r="AI152" s="2560"/>
      <c r="AJ152" s="2560"/>
      <c r="AK152" s="2560"/>
      <c r="AL152" s="2560"/>
      <c r="AM152" s="2560"/>
      <c r="AN152" s="2560"/>
      <c r="AO152" s="2560"/>
      <c r="AP152" s="2560"/>
      <c r="AQ152" s="2560"/>
      <c r="AR152" s="2561"/>
      <c r="AS152" s="2562"/>
      <c r="AT152" s="2563"/>
      <c r="AU152" s="2563"/>
      <c r="AV152" s="2563"/>
      <c r="AW152" s="2564"/>
      <c r="AX152" s="1450"/>
      <c r="AY152" s="1450"/>
      <c r="AZ152" s="1450"/>
      <c r="BA152" s="1450"/>
      <c r="BB152" s="1450"/>
      <c r="BC152" s="1450"/>
      <c r="BD152" s="1450"/>
      <c r="BE152" s="1456"/>
    </row>
    <row r="153" spans="1:57" ht="15.75" customHeight="1" thickBot="1">
      <c r="A153" s="1679"/>
      <c r="B153" s="1450"/>
      <c r="C153" s="2537" t="s">
        <v>2151</v>
      </c>
      <c r="D153" s="2538"/>
      <c r="E153" s="2538"/>
      <c r="F153" s="2538"/>
      <c r="G153" s="2538"/>
      <c r="H153" s="2538"/>
      <c r="I153" s="2538"/>
      <c r="J153" s="2538"/>
      <c r="K153" s="2538"/>
      <c r="L153" s="2538"/>
      <c r="M153" s="2539"/>
      <c r="N153" s="2540">
        <f>SUM('Sources and Uses Budget'!B85:B86)</f>
        <v>2614736</v>
      </c>
      <c r="O153" s="2540"/>
      <c r="P153" s="2540"/>
      <c r="Q153" s="2540"/>
      <c r="R153" s="2540"/>
      <c r="S153" s="2540"/>
      <c r="T153" s="2541"/>
      <c r="U153" s="2532"/>
      <c r="V153" s="2533"/>
      <c r="W153" s="2533"/>
      <c r="X153" s="2533"/>
      <c r="Y153" s="2533"/>
      <c r="Z153" s="2533"/>
      <c r="AA153" s="2533"/>
      <c r="AB153" s="2533"/>
      <c r="AC153" s="2533"/>
      <c r="AD153" s="2533"/>
      <c r="AE153" s="2534"/>
      <c r="AF153" s="1450"/>
      <c r="AG153" s="1450"/>
      <c r="AH153" s="2542" t="s">
        <v>2152</v>
      </c>
      <c r="AI153" s="2543"/>
      <c r="AJ153" s="2543"/>
      <c r="AK153" s="2543"/>
      <c r="AL153" s="2543"/>
      <c r="AM153" s="2543"/>
      <c r="AN153" s="2543"/>
      <c r="AO153" s="2543"/>
      <c r="AP153" s="2543"/>
      <c r="AQ153" s="2543"/>
      <c r="AR153" s="2543"/>
      <c r="AS153" s="2544">
        <f>SUM(AS149:AW151)</f>
        <v>0</v>
      </c>
      <c r="AT153" s="2545"/>
      <c r="AU153" s="2545"/>
      <c r="AV153" s="2545"/>
      <c r="AW153" s="2545"/>
      <c r="AX153" s="1450"/>
      <c r="AY153" s="1450"/>
      <c r="AZ153" s="1450"/>
      <c r="BA153" s="1450"/>
      <c r="BB153" s="1450"/>
      <c r="BC153" s="1450"/>
      <c r="BD153" s="1450"/>
      <c r="BE153" s="1456"/>
    </row>
    <row r="154" spans="1:57" ht="15.75" customHeight="1">
      <c r="A154" s="1679"/>
      <c r="B154" s="1450"/>
      <c r="C154" s="2537" t="s">
        <v>2153</v>
      </c>
      <c r="D154" s="2538"/>
      <c r="E154" s="2538"/>
      <c r="F154" s="2538"/>
      <c r="G154" s="2538"/>
      <c r="H154" s="2538"/>
      <c r="I154" s="2538"/>
      <c r="J154" s="2538"/>
      <c r="K154" s="2538"/>
      <c r="L154" s="2538"/>
      <c r="M154" s="2539"/>
      <c r="N154" s="2540">
        <f>'Sources and Uses Budget'!B8</f>
        <v>3300000</v>
      </c>
      <c r="O154" s="2540"/>
      <c r="P154" s="2540"/>
      <c r="Q154" s="2540"/>
      <c r="R154" s="2540"/>
      <c r="S154" s="2540"/>
      <c r="T154" s="2541"/>
      <c r="U154" s="2532"/>
      <c r="V154" s="2533"/>
      <c r="W154" s="2533"/>
      <c r="X154" s="2533"/>
      <c r="Y154" s="2533"/>
      <c r="Z154" s="2533"/>
      <c r="AA154" s="2533"/>
      <c r="AB154" s="2533"/>
      <c r="AC154" s="2533"/>
      <c r="AD154" s="2533"/>
      <c r="AE154" s="2534"/>
      <c r="AF154" s="1450"/>
      <c r="AG154" s="1450"/>
      <c r="AH154" s="1450"/>
      <c r="AI154" s="1450"/>
      <c r="AJ154" s="1450"/>
      <c r="AK154" s="1450"/>
      <c r="AL154" s="1450"/>
      <c r="AM154" s="1450"/>
      <c r="AN154" s="1450"/>
      <c r="AO154" s="1450"/>
      <c r="AP154" s="1450"/>
      <c r="AQ154" s="1450"/>
      <c r="AR154" s="1450"/>
      <c r="AS154" s="1450"/>
      <c r="AT154" s="1450"/>
      <c r="AU154" s="1450"/>
      <c r="AV154" s="1450"/>
      <c r="AW154" s="1450"/>
      <c r="AX154" s="1450"/>
      <c r="AY154" s="1450"/>
      <c r="AZ154" s="1450"/>
      <c r="BA154" s="1450"/>
      <c r="BB154" s="1450"/>
      <c r="BC154" s="1450"/>
      <c r="BD154" s="1450"/>
      <c r="BE154" s="1456"/>
    </row>
    <row r="155" spans="1:57" ht="15.75" customHeight="1">
      <c r="A155" s="1679"/>
      <c r="B155" s="1450"/>
      <c r="C155" s="2537" t="s">
        <v>2154</v>
      </c>
      <c r="D155" s="2538"/>
      <c r="E155" s="2538"/>
      <c r="F155" s="2538"/>
      <c r="G155" s="2538"/>
      <c r="H155" s="2538"/>
      <c r="I155" s="2538"/>
      <c r="J155" s="2538"/>
      <c r="K155" s="2538"/>
      <c r="L155" s="2538"/>
      <c r="M155" s="2539"/>
      <c r="N155" s="2530"/>
      <c r="O155" s="2530"/>
      <c r="P155" s="2530"/>
      <c r="Q155" s="2530"/>
      <c r="R155" s="2530"/>
      <c r="S155" s="2530"/>
      <c r="T155" s="2531"/>
      <c r="U155" s="2532"/>
      <c r="V155" s="2533"/>
      <c r="W155" s="2533"/>
      <c r="X155" s="2533"/>
      <c r="Y155" s="2533"/>
      <c r="Z155" s="2533"/>
      <c r="AA155" s="2533"/>
      <c r="AB155" s="2533"/>
      <c r="AC155" s="2533"/>
      <c r="AD155" s="2533"/>
      <c r="AE155" s="2534"/>
      <c r="AF155" s="1450"/>
      <c r="AG155" s="1450"/>
      <c r="AH155" s="1450"/>
      <c r="AI155" s="1450"/>
      <c r="AJ155" s="1450"/>
      <c r="AK155" s="1450"/>
      <c r="AL155" s="1450"/>
      <c r="AM155" s="1450"/>
      <c r="AN155" s="1450"/>
      <c r="AO155" s="1450"/>
      <c r="AP155" s="1450"/>
      <c r="AQ155" s="1450"/>
      <c r="AR155" s="1450"/>
      <c r="AS155" s="1450"/>
      <c r="AT155" s="1450"/>
      <c r="AU155" s="1450"/>
      <c r="AV155" s="1450"/>
      <c r="AW155" s="1450"/>
      <c r="AX155" s="1450"/>
      <c r="AY155" s="1450"/>
      <c r="AZ155" s="1450"/>
      <c r="BA155" s="1450"/>
      <c r="BB155" s="1450"/>
      <c r="BC155" s="1450"/>
      <c r="BD155" s="1450"/>
      <c r="BE155" s="1456"/>
    </row>
    <row r="156" spans="1:57" ht="15.75" customHeight="1">
      <c r="A156" s="1679"/>
      <c r="B156" s="1450"/>
      <c r="C156" s="2537" t="s">
        <v>2147</v>
      </c>
      <c r="D156" s="2538"/>
      <c r="E156" s="2538"/>
      <c r="F156" s="2538"/>
      <c r="G156" s="2538"/>
      <c r="H156" s="2538"/>
      <c r="I156" s="2538"/>
      <c r="J156" s="2538"/>
      <c r="K156" s="2538"/>
      <c r="L156" s="2538"/>
      <c r="M156" s="2539"/>
      <c r="N156" s="2530"/>
      <c r="O156" s="2530"/>
      <c r="P156" s="2530"/>
      <c r="Q156" s="2530"/>
      <c r="R156" s="2530"/>
      <c r="S156" s="2530"/>
      <c r="T156" s="2531"/>
      <c r="U156" s="2532"/>
      <c r="V156" s="2533"/>
      <c r="W156" s="2533"/>
      <c r="X156" s="2533"/>
      <c r="Y156" s="2533"/>
      <c r="Z156" s="2533"/>
      <c r="AA156" s="2533"/>
      <c r="AB156" s="2533"/>
      <c r="AC156" s="2533"/>
      <c r="AD156" s="2533"/>
      <c r="AE156" s="2534"/>
      <c r="AF156" s="1450"/>
      <c r="AG156" s="1450"/>
      <c r="AH156" s="1450"/>
      <c r="AI156" s="1450"/>
      <c r="AJ156" s="1450"/>
      <c r="AK156" s="1450"/>
      <c r="AL156" s="1450"/>
      <c r="AM156" s="1450"/>
      <c r="AN156" s="1450"/>
      <c r="AO156" s="1450"/>
      <c r="AP156" s="1450"/>
      <c r="AQ156" s="1450"/>
      <c r="AR156" s="1450"/>
      <c r="AS156" s="1450"/>
      <c r="AT156" s="1450"/>
      <c r="AU156" s="1450"/>
      <c r="AV156" s="1450"/>
      <c r="AW156" s="1450"/>
      <c r="AX156" s="1450"/>
      <c r="AY156" s="1450"/>
      <c r="AZ156" s="1450"/>
      <c r="BA156" s="1450"/>
      <c r="BB156" s="1450"/>
      <c r="BC156" s="1450"/>
      <c r="BD156" s="1450"/>
      <c r="BE156" s="1456"/>
    </row>
    <row r="157" spans="1:57" ht="15.75" customHeight="1">
      <c r="A157" s="1679"/>
      <c r="B157" s="1450"/>
      <c r="C157" s="2526" t="s">
        <v>310</v>
      </c>
      <c r="D157" s="2527"/>
      <c r="E157" s="2528" t="s">
        <v>2137</v>
      </c>
      <c r="F157" s="2528"/>
      <c r="G157" s="2528"/>
      <c r="H157" s="2528"/>
      <c r="I157" s="2528"/>
      <c r="J157" s="2528"/>
      <c r="K157" s="2528"/>
      <c r="L157" s="2528"/>
      <c r="M157" s="2529"/>
      <c r="N157" s="2530"/>
      <c r="O157" s="2530"/>
      <c r="P157" s="2530"/>
      <c r="Q157" s="2530"/>
      <c r="R157" s="2530"/>
      <c r="S157" s="2530"/>
      <c r="T157" s="2531"/>
      <c r="U157" s="2532"/>
      <c r="V157" s="2533"/>
      <c r="W157" s="2533"/>
      <c r="X157" s="2533"/>
      <c r="Y157" s="2533"/>
      <c r="Z157" s="2533"/>
      <c r="AA157" s="2533"/>
      <c r="AB157" s="2533"/>
      <c r="AC157" s="2533"/>
      <c r="AD157" s="2533"/>
      <c r="AE157" s="2534"/>
      <c r="AF157" s="1450"/>
      <c r="AG157" s="1450"/>
      <c r="AH157" s="1450"/>
      <c r="AI157" s="1450"/>
      <c r="AJ157" s="1450"/>
      <c r="AK157" s="1450"/>
      <c r="AL157" s="1450"/>
      <c r="AM157" s="1450"/>
      <c r="AN157" s="1450"/>
      <c r="AO157" s="1450"/>
      <c r="AP157" s="1450"/>
      <c r="AQ157" s="1450"/>
      <c r="AR157" s="1450"/>
      <c r="AS157" s="1450"/>
      <c r="AT157" s="1450"/>
      <c r="AU157" s="1450"/>
      <c r="AV157" s="1450"/>
      <c r="AW157" s="1450"/>
      <c r="AX157" s="1450"/>
      <c r="AY157" s="1625"/>
      <c r="AZ157" s="1450"/>
      <c r="BA157" s="1450"/>
      <c r="BB157" s="1450"/>
      <c r="BC157" s="1450"/>
      <c r="BD157" s="1450"/>
      <c r="BE157" s="1456"/>
    </row>
    <row r="158" spans="1:57" ht="15.75" customHeight="1">
      <c r="A158" s="1679"/>
      <c r="B158" s="1450"/>
      <c r="C158" s="2535" t="s">
        <v>310</v>
      </c>
      <c r="D158" s="2536"/>
      <c r="E158" s="2528" t="s">
        <v>2137</v>
      </c>
      <c r="F158" s="2528"/>
      <c r="G158" s="2528"/>
      <c r="H158" s="2528"/>
      <c r="I158" s="2528"/>
      <c r="J158" s="2528"/>
      <c r="K158" s="2528"/>
      <c r="L158" s="2528"/>
      <c r="M158" s="2529"/>
      <c r="N158" s="2530"/>
      <c r="O158" s="2530"/>
      <c r="P158" s="2530"/>
      <c r="Q158" s="2530"/>
      <c r="R158" s="2530"/>
      <c r="S158" s="2530"/>
      <c r="T158" s="2531"/>
      <c r="U158" s="2532"/>
      <c r="V158" s="2533"/>
      <c r="W158" s="2533"/>
      <c r="X158" s="2533"/>
      <c r="Y158" s="2533"/>
      <c r="Z158" s="2533"/>
      <c r="AA158" s="2533"/>
      <c r="AB158" s="2533"/>
      <c r="AC158" s="2533"/>
      <c r="AD158" s="2533"/>
      <c r="AE158" s="2534"/>
      <c r="AF158" s="1450"/>
      <c r="AG158" s="1450"/>
      <c r="AH158" s="1450"/>
      <c r="AI158" s="1450"/>
      <c r="AJ158" s="1450"/>
      <c r="AK158" s="1450"/>
      <c r="AL158" s="1450"/>
      <c r="AM158" s="1450"/>
      <c r="AN158" s="1450"/>
      <c r="AO158" s="1450"/>
      <c r="AP158" s="1450"/>
      <c r="AQ158" s="1450"/>
      <c r="AR158" s="1450"/>
      <c r="AS158" s="1450"/>
      <c r="AT158" s="1450"/>
      <c r="AU158" s="1450"/>
      <c r="AV158" s="1450"/>
      <c r="AW158" s="1450"/>
      <c r="AX158" s="1450"/>
      <c r="AY158" s="1450"/>
      <c r="AZ158" s="1450"/>
      <c r="BA158" s="1450"/>
      <c r="BB158" s="1450"/>
      <c r="BC158" s="1450"/>
      <c r="BD158" s="1450"/>
      <c r="BE158" s="1456"/>
    </row>
    <row r="159" spans="1:57" ht="15.75" customHeight="1" thickBot="1">
      <c r="A159" s="1679"/>
      <c r="B159" s="1450"/>
      <c r="C159" s="2511" t="s">
        <v>310</v>
      </c>
      <c r="D159" s="2512"/>
      <c r="E159" s="2513" t="s">
        <v>2137</v>
      </c>
      <c r="F159" s="2513"/>
      <c r="G159" s="2513"/>
      <c r="H159" s="2513"/>
      <c r="I159" s="2513"/>
      <c r="J159" s="2513"/>
      <c r="K159" s="2513"/>
      <c r="L159" s="2513"/>
      <c r="M159" s="2514"/>
      <c r="N159" s="2515"/>
      <c r="O159" s="2515"/>
      <c r="P159" s="2515"/>
      <c r="Q159" s="2515"/>
      <c r="R159" s="2515"/>
      <c r="S159" s="2515"/>
      <c r="T159" s="2516"/>
      <c r="U159" s="2517"/>
      <c r="V159" s="2518"/>
      <c r="W159" s="2518"/>
      <c r="X159" s="2518"/>
      <c r="Y159" s="2518"/>
      <c r="Z159" s="2518"/>
      <c r="AA159" s="2518"/>
      <c r="AB159" s="2518"/>
      <c r="AC159" s="2518"/>
      <c r="AD159" s="2518"/>
      <c r="AE159" s="2519"/>
      <c r="AF159" s="1450"/>
      <c r="AG159" s="1450"/>
      <c r="AH159" s="1450"/>
      <c r="AI159" s="1450"/>
      <c r="AJ159" s="1450"/>
      <c r="AK159" s="1450"/>
      <c r="AL159" s="1450"/>
      <c r="AM159" s="1450"/>
      <c r="AN159" s="1450"/>
      <c r="AO159" s="1450"/>
      <c r="AP159" s="1450"/>
      <c r="AQ159" s="1450"/>
      <c r="AR159" s="1450"/>
      <c r="AS159" s="1450"/>
      <c r="AT159" s="1450"/>
      <c r="AU159" s="1450"/>
      <c r="AV159" s="1450"/>
      <c r="AW159" s="1450"/>
      <c r="AX159" s="1450"/>
      <c r="AY159" s="1450"/>
      <c r="AZ159" s="1450"/>
      <c r="BA159" s="1450"/>
      <c r="BB159" s="1450"/>
      <c r="BC159" s="1450"/>
      <c r="BD159" s="1450"/>
      <c r="BE159" s="1456"/>
    </row>
    <row r="160" spans="1:57" ht="15.75" customHeight="1">
      <c r="A160" s="1679"/>
      <c r="B160" s="1450"/>
      <c r="C160" s="2520" t="s">
        <v>2155</v>
      </c>
      <c r="D160" s="2521"/>
      <c r="E160" s="2521"/>
      <c r="F160" s="2521"/>
      <c r="G160" s="2521"/>
      <c r="H160" s="2521"/>
      <c r="I160" s="2521"/>
      <c r="J160" s="2521"/>
      <c r="K160" s="2521"/>
      <c r="L160" s="2521"/>
      <c r="M160" s="2522"/>
      <c r="N160" s="2523">
        <f>SUM(N152:T159)</f>
        <v>5914736</v>
      </c>
      <c r="O160" s="2524"/>
      <c r="P160" s="2524"/>
      <c r="Q160" s="2524"/>
      <c r="R160" s="2524"/>
      <c r="S160" s="2524"/>
      <c r="T160" s="2525"/>
      <c r="U160" s="1450"/>
      <c r="V160" s="1450"/>
      <c r="W160" s="1450"/>
      <c r="X160" s="1450"/>
      <c r="Y160" s="1450"/>
      <c r="Z160" s="1450"/>
      <c r="AA160" s="1450"/>
      <c r="AB160" s="1450"/>
      <c r="AC160" s="1450"/>
      <c r="AD160" s="1450"/>
      <c r="AE160" s="1450"/>
      <c r="AF160" s="1450"/>
      <c r="AG160" s="1450"/>
      <c r="AH160" s="1450"/>
      <c r="AI160" s="1450"/>
      <c r="AJ160" s="1450"/>
      <c r="AK160" s="1450"/>
      <c r="AL160" s="1450"/>
      <c r="AM160" s="1450"/>
      <c r="AN160" s="1450"/>
      <c r="AO160" s="1450"/>
      <c r="AP160" s="1450"/>
      <c r="AQ160" s="1450"/>
      <c r="AR160" s="1450"/>
      <c r="AS160" s="1450"/>
      <c r="AT160" s="1450"/>
      <c r="AU160" s="1450"/>
      <c r="AV160" s="1450"/>
      <c r="AW160" s="1450"/>
      <c r="AX160" s="1450"/>
      <c r="AY160" s="1450"/>
      <c r="AZ160" s="1450"/>
      <c r="BA160" s="1450"/>
      <c r="BB160" s="1450"/>
      <c r="BC160" s="1450"/>
      <c r="BD160" s="1450"/>
      <c r="BE160" s="1456"/>
    </row>
    <row r="161" spans="1:57" ht="15.75" customHeight="1" thickBot="1">
      <c r="A161" s="1679"/>
      <c r="B161" s="1450"/>
      <c r="C161" s="2498" t="s">
        <v>2156</v>
      </c>
      <c r="D161" s="2499"/>
      <c r="E161" s="2499"/>
      <c r="F161" s="2499"/>
      <c r="G161" s="2499"/>
      <c r="H161" s="2499"/>
      <c r="I161" s="2499"/>
      <c r="J161" s="2499"/>
      <c r="K161" s="2499"/>
      <c r="L161" s="2499"/>
      <c r="M161" s="2499"/>
      <c r="N161" s="2500">
        <f>(N150-N160)/J29</f>
        <v>-36586.909090909088</v>
      </c>
      <c r="O161" s="2500"/>
      <c r="P161" s="2500"/>
      <c r="Q161" s="2500"/>
      <c r="R161" s="2500"/>
      <c r="S161" s="2500"/>
      <c r="T161" s="2501"/>
      <c r="U161" s="1457"/>
      <c r="V161" s="1450"/>
      <c r="W161" s="1450"/>
      <c r="X161" s="1450"/>
      <c r="Y161" s="1450"/>
      <c r="Z161" s="1450"/>
      <c r="AA161" s="1450"/>
      <c r="AB161" s="1450"/>
      <c r="AC161" s="1450"/>
      <c r="AD161" s="1450"/>
      <c r="AE161" s="1450"/>
      <c r="AF161" s="1450"/>
      <c r="AG161" s="1450"/>
      <c r="AH161" s="1450"/>
      <c r="AI161" s="1450"/>
      <c r="AJ161" s="1450"/>
      <c r="AK161" s="1450"/>
      <c r="AL161" s="1450"/>
      <c r="AM161" s="1450"/>
      <c r="AN161" s="1450"/>
      <c r="AO161" s="1450"/>
      <c r="AP161" s="1450"/>
      <c r="AQ161" s="1450"/>
      <c r="AR161" s="1450"/>
      <c r="AS161" s="1450"/>
      <c r="AT161" s="1450"/>
      <c r="AU161" s="1450"/>
      <c r="AV161" s="1450"/>
      <c r="AW161" s="1450"/>
      <c r="AX161" s="1450"/>
      <c r="AY161" s="1450"/>
      <c r="AZ161" s="1450"/>
      <c r="BA161" s="1450"/>
      <c r="BB161" s="1450"/>
      <c r="BC161" s="1450"/>
      <c r="BD161" s="1450"/>
      <c r="BE161" s="1456"/>
    </row>
    <row r="162" spans="1:57" ht="15.75" customHeight="1">
      <c r="A162" s="1679"/>
      <c r="B162" s="1450"/>
      <c r="C162" s="1450"/>
      <c r="D162" s="1450"/>
      <c r="E162" s="1450"/>
      <c r="F162" s="1450"/>
      <c r="G162" s="1450"/>
      <c r="H162" s="1450"/>
      <c r="I162" s="1450"/>
      <c r="J162" s="1450"/>
      <c r="K162" s="1450"/>
      <c r="L162" s="1450"/>
      <c r="M162" s="1450"/>
      <c r="N162" s="1450"/>
      <c r="O162" s="1450"/>
      <c r="P162" s="1450"/>
      <c r="Q162" s="1450"/>
      <c r="R162" s="1450"/>
      <c r="S162" s="1450"/>
      <c r="T162" s="1450"/>
      <c r="U162" s="1450"/>
      <c r="V162" s="1450"/>
      <c r="W162" s="1450"/>
      <c r="X162" s="1450"/>
      <c r="Y162" s="1450"/>
      <c r="Z162" s="1450"/>
      <c r="AA162" s="1450"/>
      <c r="AB162" s="1450"/>
      <c r="AC162" s="1450"/>
      <c r="AD162" s="1450"/>
      <c r="AE162" s="1450"/>
      <c r="AF162" s="1450"/>
      <c r="AG162" s="1450"/>
      <c r="AH162" s="1450"/>
      <c r="AI162" s="1450"/>
      <c r="AJ162" s="1450"/>
      <c r="AK162" s="1450"/>
      <c r="AL162" s="1450"/>
      <c r="AM162" s="1450"/>
      <c r="AN162" s="1450"/>
      <c r="AO162" s="1450"/>
      <c r="AP162" s="1450"/>
      <c r="AQ162" s="1450"/>
      <c r="AR162" s="1450"/>
      <c r="AS162" s="1450"/>
      <c r="AT162" s="1450"/>
      <c r="AU162" s="1450"/>
      <c r="AV162" s="1450"/>
      <c r="AW162" s="1450"/>
      <c r="AX162" s="1450"/>
      <c r="AY162" s="1450"/>
      <c r="AZ162" s="1450"/>
      <c r="BA162" s="1450"/>
      <c r="BB162" s="1450"/>
      <c r="BC162" s="1450"/>
      <c r="BD162" s="1450"/>
      <c r="BE162" s="1456"/>
    </row>
    <row r="163" spans="1:57" ht="15.75" customHeight="1" thickBot="1">
      <c r="A163" s="1679"/>
      <c r="B163" s="1450"/>
      <c r="C163" s="1450"/>
      <c r="D163" s="1450"/>
      <c r="E163" s="1450"/>
      <c r="F163" s="1450"/>
      <c r="G163" s="1450"/>
      <c r="H163" s="1450"/>
      <c r="I163" s="1450"/>
      <c r="J163" s="1450"/>
      <c r="K163" s="1450"/>
      <c r="L163" s="1450"/>
      <c r="M163" s="1450"/>
      <c r="N163" s="1450"/>
      <c r="O163" s="1450"/>
      <c r="P163" s="1450"/>
      <c r="Q163" s="1450"/>
      <c r="R163" s="1450"/>
      <c r="S163" s="1450"/>
      <c r="T163" s="1450"/>
      <c r="U163" s="1450"/>
      <c r="V163" s="1450"/>
      <c r="W163" s="1450"/>
      <c r="X163" s="1450"/>
      <c r="Y163" s="1450"/>
      <c r="Z163" s="1450"/>
      <c r="AA163" s="1450"/>
      <c r="AB163" s="1450"/>
      <c r="AC163" s="1450"/>
      <c r="AD163" s="1450"/>
      <c r="AE163" s="1450"/>
      <c r="AF163" s="1450"/>
      <c r="AG163" s="1450"/>
      <c r="AH163" s="1450"/>
      <c r="AI163" s="1450"/>
      <c r="AJ163" s="1450"/>
      <c r="AK163" s="1450"/>
      <c r="AL163" s="1450"/>
      <c r="AM163" s="1450"/>
      <c r="AN163" s="1450"/>
      <c r="AO163" s="1450"/>
      <c r="AP163" s="1450"/>
      <c r="AQ163" s="1450"/>
      <c r="AR163" s="1450"/>
      <c r="AS163" s="1450"/>
      <c r="AT163" s="1450"/>
      <c r="AU163" s="1450"/>
      <c r="AV163" s="1450"/>
      <c r="AW163" s="1450"/>
      <c r="AX163" s="1450"/>
      <c r="AY163" s="1450"/>
      <c r="AZ163" s="1450"/>
      <c r="BA163" s="1450"/>
      <c r="BB163" s="1450"/>
      <c r="BC163" s="1450"/>
      <c r="BD163" s="1450"/>
      <c r="BE163" s="1456"/>
    </row>
    <row r="164" spans="1:57" ht="15.75" customHeight="1">
      <c r="A164" s="1679"/>
      <c r="B164" s="2502" t="s">
        <v>2157</v>
      </c>
      <c r="C164" s="2503"/>
      <c r="D164" s="2503"/>
      <c r="E164" s="2503"/>
      <c r="F164" s="2503"/>
      <c r="G164" s="2503"/>
      <c r="H164" s="2503"/>
      <c r="I164" s="2503"/>
      <c r="J164" s="2503"/>
      <c r="K164" s="2503"/>
      <c r="L164" s="2503"/>
      <c r="M164" s="2503"/>
      <c r="N164" s="2503"/>
      <c r="O164" s="2503"/>
      <c r="P164" s="2503"/>
      <c r="Q164" s="2503"/>
      <c r="R164" s="2503"/>
      <c r="S164" s="2503"/>
      <c r="T164" s="2503"/>
      <c r="U164" s="2503"/>
      <c r="V164" s="2503"/>
      <c r="W164" s="2503"/>
      <c r="X164" s="2503"/>
      <c r="Y164" s="2503"/>
      <c r="Z164" s="2503"/>
      <c r="AA164" s="2503"/>
      <c r="AB164" s="2503"/>
      <c r="AC164" s="2503"/>
      <c r="AD164" s="2503"/>
      <c r="AE164" s="2503"/>
      <c r="AF164" s="2503"/>
      <c r="AG164" s="2503"/>
      <c r="AH164" s="2503"/>
      <c r="AI164" s="2503"/>
      <c r="AJ164" s="2503"/>
      <c r="AK164" s="2503"/>
      <c r="AL164" s="2503"/>
      <c r="AM164" s="2503"/>
      <c r="AN164" s="2503"/>
      <c r="AO164" s="2503"/>
      <c r="AP164" s="2503"/>
      <c r="AQ164" s="2503"/>
      <c r="AR164" s="2503"/>
      <c r="AS164" s="2503"/>
      <c r="AT164" s="2503"/>
      <c r="AU164" s="2503"/>
      <c r="AV164" s="2503"/>
      <c r="AW164" s="2503"/>
      <c r="AX164" s="2503"/>
      <c r="AY164" s="2503"/>
      <c r="AZ164" s="2503"/>
      <c r="BA164" s="2503"/>
      <c r="BB164" s="2503"/>
      <c r="BC164" s="2503"/>
      <c r="BD164" s="2504"/>
      <c r="BE164" s="1456"/>
    </row>
    <row r="165" spans="1:57" ht="15.75" customHeight="1">
      <c r="A165" s="1679"/>
      <c r="B165" s="2505"/>
      <c r="C165" s="2506"/>
      <c r="D165" s="2506"/>
      <c r="E165" s="2506"/>
      <c r="F165" s="2506"/>
      <c r="G165" s="2506"/>
      <c r="H165" s="2506"/>
      <c r="I165" s="2506"/>
      <c r="J165" s="2506"/>
      <c r="K165" s="2506"/>
      <c r="L165" s="2506"/>
      <c r="M165" s="2506"/>
      <c r="N165" s="2506"/>
      <c r="O165" s="2506"/>
      <c r="P165" s="2506"/>
      <c r="Q165" s="2506"/>
      <c r="R165" s="2506"/>
      <c r="S165" s="2506"/>
      <c r="T165" s="2506"/>
      <c r="U165" s="2506"/>
      <c r="V165" s="2506"/>
      <c r="W165" s="2506"/>
      <c r="X165" s="2506"/>
      <c r="Y165" s="2506"/>
      <c r="Z165" s="2506"/>
      <c r="AA165" s="2506"/>
      <c r="AB165" s="2506"/>
      <c r="AC165" s="2506"/>
      <c r="AD165" s="2506"/>
      <c r="AE165" s="2506"/>
      <c r="AF165" s="2506"/>
      <c r="AG165" s="2506"/>
      <c r="AH165" s="2506"/>
      <c r="AI165" s="2506"/>
      <c r="AJ165" s="2506"/>
      <c r="AK165" s="2506"/>
      <c r="AL165" s="2506"/>
      <c r="AM165" s="2506"/>
      <c r="AN165" s="2506"/>
      <c r="AO165" s="2506"/>
      <c r="AP165" s="2506"/>
      <c r="AQ165" s="2506"/>
      <c r="AR165" s="2506"/>
      <c r="AS165" s="2506"/>
      <c r="AT165" s="2506"/>
      <c r="AU165" s="2506"/>
      <c r="AV165" s="2506"/>
      <c r="AW165" s="2506"/>
      <c r="AX165" s="2506"/>
      <c r="AY165" s="2506"/>
      <c r="AZ165" s="2506"/>
      <c r="BA165" s="2506"/>
      <c r="BB165" s="2506"/>
      <c r="BC165" s="2506"/>
      <c r="BD165" s="2507"/>
      <c r="BE165" s="1456"/>
    </row>
    <row r="166" spans="1:57" ht="15.75" customHeight="1">
      <c r="A166" s="1679"/>
      <c r="B166" s="2508" t="s">
        <v>2158</v>
      </c>
      <c r="C166" s="2509"/>
      <c r="D166" s="2509"/>
      <c r="E166" s="2509"/>
      <c r="F166" s="2509"/>
      <c r="G166" s="2509"/>
      <c r="H166" s="2509"/>
      <c r="I166" s="2509"/>
      <c r="J166" s="2509"/>
      <c r="K166" s="2509"/>
      <c r="L166" s="2509"/>
      <c r="M166" s="2509"/>
      <c r="N166" s="2509"/>
      <c r="O166" s="2509"/>
      <c r="P166" s="2509"/>
      <c r="Q166" s="2509"/>
      <c r="R166" s="2509"/>
      <c r="S166" s="2509"/>
      <c r="T166" s="2509"/>
      <c r="U166" s="2509"/>
      <c r="V166" s="2509"/>
      <c r="W166" s="2509"/>
      <c r="X166" s="2509"/>
      <c r="Y166" s="2509"/>
      <c r="Z166" s="2509"/>
      <c r="AA166" s="2509"/>
      <c r="AB166" s="2509"/>
      <c r="AC166" s="2509"/>
      <c r="AD166" s="2509"/>
      <c r="AE166" s="2509"/>
      <c r="AF166" s="2509"/>
      <c r="AG166" s="2509"/>
      <c r="AH166" s="2509"/>
      <c r="AI166" s="2509"/>
      <c r="AJ166" s="2509"/>
      <c r="AK166" s="2509"/>
      <c r="AL166" s="2509"/>
      <c r="AM166" s="2509"/>
      <c r="AN166" s="2509"/>
      <c r="AO166" s="2509"/>
      <c r="AP166" s="2509"/>
      <c r="AQ166" s="2509"/>
      <c r="AR166" s="2509"/>
      <c r="AS166" s="2509"/>
      <c r="AT166" s="2509"/>
      <c r="AU166" s="2509"/>
      <c r="AV166" s="2509"/>
      <c r="AW166" s="2509"/>
      <c r="AX166" s="2509"/>
      <c r="AY166" s="2509"/>
      <c r="AZ166" s="2509"/>
      <c r="BA166" s="2509"/>
      <c r="BB166" s="2509"/>
      <c r="BC166" s="2509"/>
      <c r="BD166" s="2510"/>
      <c r="BE166" s="1456"/>
    </row>
    <row r="167" spans="1:57" ht="15.75" customHeight="1">
      <c r="A167" s="1679"/>
      <c r="B167" s="2508" t="s">
        <v>2159</v>
      </c>
      <c r="C167" s="2509"/>
      <c r="D167" s="2509"/>
      <c r="E167" s="2509"/>
      <c r="F167" s="2509"/>
      <c r="G167" s="2509"/>
      <c r="H167" s="2509"/>
      <c r="I167" s="2509"/>
      <c r="J167" s="2509"/>
      <c r="K167" s="2509"/>
      <c r="L167" s="2509"/>
      <c r="M167" s="2509"/>
      <c r="N167" s="2509"/>
      <c r="O167" s="2509"/>
      <c r="P167" s="2509"/>
      <c r="Q167" s="2509"/>
      <c r="R167" s="2509"/>
      <c r="S167" s="2509"/>
      <c r="T167" s="2509"/>
      <c r="U167" s="2509"/>
      <c r="V167" s="2509"/>
      <c r="W167" s="2509"/>
      <c r="X167" s="2509"/>
      <c r="Y167" s="2509"/>
      <c r="Z167" s="2509"/>
      <c r="AA167" s="2509"/>
      <c r="AB167" s="2509"/>
      <c r="AC167" s="2509"/>
      <c r="AD167" s="2509"/>
      <c r="AE167" s="2509"/>
      <c r="AF167" s="2509"/>
      <c r="AG167" s="2509"/>
      <c r="AH167" s="2509"/>
      <c r="AI167" s="2509"/>
      <c r="AJ167" s="2509"/>
      <c r="AK167" s="2509"/>
      <c r="AL167" s="2509"/>
      <c r="AM167" s="2509"/>
      <c r="AN167" s="2509"/>
      <c r="AO167" s="2509"/>
      <c r="AP167" s="2509"/>
      <c r="AQ167" s="2509"/>
      <c r="AR167" s="2509"/>
      <c r="AS167" s="2509"/>
      <c r="AT167" s="2509"/>
      <c r="AU167" s="2509"/>
      <c r="AV167" s="2509"/>
      <c r="AW167" s="2509"/>
      <c r="AX167" s="2509"/>
      <c r="AY167" s="2509"/>
      <c r="AZ167" s="2509"/>
      <c r="BA167" s="2509"/>
      <c r="BB167" s="2509"/>
      <c r="BC167" s="2509"/>
      <c r="BD167" s="2510"/>
      <c r="BE167" s="1456"/>
    </row>
    <row r="168" spans="1:57" ht="15.75" customHeight="1">
      <c r="A168" s="1679"/>
      <c r="B168" s="1449"/>
      <c r="C168" s="1476"/>
      <c r="D168" s="1476"/>
      <c r="E168" s="1476"/>
      <c r="F168" s="1476"/>
      <c r="G168" s="1476"/>
      <c r="H168" s="1476"/>
      <c r="I168" s="1476"/>
      <c r="J168" s="1476"/>
      <c r="K168" s="1476"/>
      <c r="L168" s="1476"/>
      <c r="M168" s="1476"/>
      <c r="N168" s="1476"/>
      <c r="O168" s="1476"/>
      <c r="P168" s="1476"/>
      <c r="Q168" s="1476"/>
      <c r="R168" s="1476"/>
      <c r="S168" s="1476"/>
      <c r="T168" s="1476"/>
      <c r="U168" s="1476"/>
      <c r="V168" s="1476"/>
      <c r="W168" s="1476"/>
      <c r="X168" s="1476"/>
      <c r="Y168" s="1476"/>
      <c r="Z168" s="1476"/>
      <c r="AA168" s="1476"/>
      <c r="AB168" s="1476"/>
      <c r="AC168" s="1476"/>
      <c r="AD168" s="1476"/>
      <c r="AE168" s="1476"/>
      <c r="AF168" s="1476"/>
      <c r="AG168" s="1476"/>
      <c r="AH168" s="1476"/>
      <c r="AI168" s="1476"/>
      <c r="AJ168" s="1476"/>
      <c r="AK168" s="1476"/>
      <c r="AL168" s="1476"/>
      <c r="AM168" s="1476"/>
      <c r="AN168" s="1476"/>
      <c r="AO168" s="1476"/>
      <c r="AP168" s="1476"/>
      <c r="AQ168" s="1476"/>
      <c r="AR168" s="1476"/>
      <c r="AS168" s="1476"/>
      <c r="AT168" s="1476"/>
      <c r="AU168" s="1476"/>
      <c r="AV168" s="1476"/>
      <c r="AW168" s="1476"/>
      <c r="AX168" s="1476"/>
      <c r="AY168" s="1476"/>
      <c r="AZ168" s="1476"/>
      <c r="BA168" s="1476"/>
      <c r="BB168" s="1476"/>
      <c r="BC168" s="1476"/>
      <c r="BD168" s="1456"/>
      <c r="BE168" s="1456"/>
    </row>
    <row r="169" spans="1:57" ht="15.75" customHeight="1">
      <c r="A169" s="1679"/>
      <c r="B169" s="2492" t="s">
        <v>2160</v>
      </c>
      <c r="C169" s="2493"/>
      <c r="D169" s="2493"/>
      <c r="E169" s="2493"/>
      <c r="F169" s="2493"/>
      <c r="G169" s="2493"/>
      <c r="H169" s="2493"/>
      <c r="I169" s="2493"/>
      <c r="J169" s="2493"/>
      <c r="K169" s="2493"/>
      <c r="L169" s="2493"/>
      <c r="M169" s="2493"/>
      <c r="N169" s="2493"/>
      <c r="O169" s="2493"/>
      <c r="P169" s="2493"/>
      <c r="Q169" s="2493"/>
      <c r="R169" s="2493"/>
      <c r="S169" s="2493"/>
      <c r="T169" s="2493"/>
      <c r="U169" s="2493"/>
      <c r="V169" s="2493"/>
      <c r="W169" s="2493"/>
      <c r="X169" s="2493"/>
      <c r="Y169" s="2493"/>
      <c r="Z169" s="2493"/>
      <c r="AA169" s="2493"/>
      <c r="AB169" s="2493"/>
      <c r="AC169" s="2493"/>
      <c r="AD169" s="2493"/>
      <c r="AE169" s="2493"/>
      <c r="AF169" s="2493"/>
      <c r="AG169" s="2493"/>
      <c r="AH169" s="2493"/>
      <c r="AI169" s="2493"/>
      <c r="AJ169" s="2493"/>
      <c r="AK169" s="2493"/>
      <c r="AL169" s="2493"/>
      <c r="AM169" s="2493"/>
      <c r="AN169" s="2493"/>
      <c r="AO169" s="2493"/>
      <c r="AP169" s="2493"/>
      <c r="AQ169" s="2493"/>
      <c r="AR169" s="2493"/>
      <c r="AS169" s="2493"/>
      <c r="AT169" s="2493"/>
      <c r="AU169" s="2493"/>
      <c r="AV169" s="2493"/>
      <c r="AW169" s="2493"/>
      <c r="AX169" s="2493"/>
      <c r="AY169" s="2493"/>
      <c r="AZ169" s="2493"/>
      <c r="BA169" s="2493"/>
      <c r="BB169" s="2493"/>
      <c r="BC169" s="2493"/>
      <c r="BD169" s="2494"/>
      <c r="BE169" s="1456"/>
    </row>
    <row r="170" spans="1:57" ht="15.75" customHeight="1">
      <c r="A170" s="1679"/>
      <c r="B170" s="1477"/>
      <c r="C170" s="1476"/>
      <c r="D170" s="1476"/>
      <c r="E170" s="1476"/>
      <c r="F170" s="1476"/>
      <c r="G170" s="1476"/>
      <c r="H170" s="1476"/>
      <c r="I170" s="1476"/>
      <c r="J170" s="1476"/>
      <c r="K170" s="1476"/>
      <c r="L170" s="1476"/>
      <c r="M170" s="1476"/>
      <c r="N170" s="1476"/>
      <c r="O170" s="1476"/>
      <c r="P170" s="1476"/>
      <c r="Q170" s="1476"/>
      <c r="R170" s="1476"/>
      <c r="S170" s="1476"/>
      <c r="T170" s="1476"/>
      <c r="U170" s="1476"/>
      <c r="V170" s="1476"/>
      <c r="W170" s="1476"/>
      <c r="X170" s="1476"/>
      <c r="Y170" s="1476"/>
      <c r="Z170" s="1476"/>
      <c r="AA170" s="1476"/>
      <c r="AB170" s="1476"/>
      <c r="AC170" s="1476"/>
      <c r="AD170" s="1476"/>
      <c r="AE170" s="1476"/>
      <c r="AF170" s="1476"/>
      <c r="AG170" s="1476"/>
      <c r="AH170" s="1476"/>
      <c r="AI170" s="1476"/>
      <c r="AJ170" s="1476"/>
      <c r="AK170" s="1476"/>
      <c r="AL170" s="1476"/>
      <c r="AM170" s="1476"/>
      <c r="AN170" s="1476"/>
      <c r="AO170" s="1476"/>
      <c r="AP170" s="1476"/>
      <c r="AQ170" s="1476"/>
      <c r="AR170" s="1476"/>
      <c r="AS170" s="1476"/>
      <c r="AT170" s="1476"/>
      <c r="AU170" s="1476"/>
      <c r="AV170" s="1476"/>
      <c r="AW170" s="1476"/>
      <c r="AX170" s="1476"/>
      <c r="AY170" s="1476"/>
      <c r="AZ170" s="1476"/>
      <c r="BA170" s="1476"/>
      <c r="BB170" s="1476"/>
      <c r="BC170" s="1476"/>
      <c r="BD170" s="1456"/>
      <c r="BE170" s="1456"/>
    </row>
    <row r="171" spans="1:57" ht="15.75" customHeight="1">
      <c r="A171" s="1679"/>
      <c r="B171" s="1478"/>
      <c r="C171" s="1476"/>
      <c r="D171" s="1476"/>
      <c r="E171" s="1476"/>
      <c r="F171" s="1476"/>
      <c r="G171" s="1476"/>
      <c r="H171" s="1479" t="s">
        <v>2161</v>
      </c>
      <c r="I171" s="1476"/>
      <c r="J171" s="1476"/>
      <c r="K171" s="1476"/>
      <c r="L171" s="1476"/>
      <c r="M171" s="1476"/>
      <c r="N171" s="1476"/>
      <c r="O171" s="1476"/>
      <c r="P171" s="1476"/>
      <c r="Q171" s="1476"/>
      <c r="R171" s="1476"/>
      <c r="S171" s="1476"/>
      <c r="T171" s="1476"/>
      <c r="U171" s="1476"/>
      <c r="V171" s="1476"/>
      <c r="W171" s="1476"/>
      <c r="X171" s="1476"/>
      <c r="Y171" s="1476"/>
      <c r="Z171" s="1476"/>
      <c r="AA171" s="1476"/>
      <c r="AB171" s="1476"/>
      <c r="AC171" s="1476"/>
      <c r="AD171" s="1476"/>
      <c r="AE171" s="1476"/>
      <c r="AF171" s="1476"/>
      <c r="AG171" s="1476"/>
      <c r="AH171" s="1476"/>
      <c r="AI171" s="1476"/>
      <c r="AJ171" s="1476"/>
      <c r="AK171" s="1476"/>
      <c r="AL171" s="1476"/>
      <c r="AM171" s="1476"/>
      <c r="AN171" s="1476"/>
      <c r="AO171" s="1476"/>
      <c r="AP171" s="1476"/>
      <c r="AQ171" s="1476"/>
      <c r="AR171" s="1476"/>
      <c r="AS171" s="1476"/>
      <c r="AT171" s="1476"/>
      <c r="AU171" s="1476"/>
      <c r="AV171" s="1476"/>
      <c r="AW171" s="1476"/>
      <c r="AX171" s="1476"/>
      <c r="AY171" s="1476"/>
      <c r="AZ171" s="1476"/>
      <c r="BA171" s="1476"/>
      <c r="BB171" s="1476"/>
      <c r="BC171" s="1476"/>
      <c r="BD171" s="1456"/>
      <c r="BE171" s="1456"/>
    </row>
    <row r="172" spans="1:57" ht="15.75" customHeight="1">
      <c r="A172" s="1679"/>
      <c r="B172" s="1478"/>
      <c r="C172" s="1476"/>
      <c r="D172" s="1476"/>
      <c r="E172" s="1476"/>
      <c r="F172" s="1476"/>
      <c r="G172" s="1476"/>
      <c r="H172" s="1476"/>
      <c r="I172" s="1476"/>
      <c r="J172" s="1476"/>
      <c r="K172" s="1476"/>
      <c r="L172" s="1476"/>
      <c r="M172" s="1476"/>
      <c r="N172" s="1476"/>
      <c r="O172" s="1476"/>
      <c r="P172" s="1476"/>
      <c r="Q172" s="1476"/>
      <c r="R172" s="1476"/>
      <c r="S172" s="1476"/>
      <c r="T172" s="1476"/>
      <c r="U172" s="1476"/>
      <c r="V172" s="1476"/>
      <c r="W172" s="1476"/>
      <c r="X172" s="1476"/>
      <c r="Y172" s="1476"/>
      <c r="Z172" s="1476"/>
      <c r="AA172" s="1476"/>
      <c r="AB172" s="1476"/>
      <c r="AC172" s="1476"/>
      <c r="AD172" s="1476"/>
      <c r="AE172" s="1476"/>
      <c r="AF172" s="1476"/>
      <c r="AG172" s="1476"/>
      <c r="AH172" s="1476"/>
      <c r="AI172" s="1476"/>
      <c r="AJ172" s="1476"/>
      <c r="AK172" s="1476"/>
      <c r="AL172" s="1476"/>
      <c r="AM172" s="1476"/>
      <c r="AN172" s="1476"/>
      <c r="AO172" s="1476"/>
      <c r="AP172" s="1476"/>
      <c r="AQ172" s="1476"/>
      <c r="AR172" s="1476"/>
      <c r="AS172" s="1476"/>
      <c r="AT172" s="1476"/>
      <c r="AU172" s="1476"/>
      <c r="AV172" s="1476"/>
      <c r="AW172" s="1476"/>
      <c r="AX172" s="1476"/>
      <c r="AY172" s="1476"/>
      <c r="AZ172" s="1476"/>
      <c r="BA172" s="1476"/>
      <c r="BB172" s="1476"/>
      <c r="BC172" s="1476"/>
      <c r="BD172" s="1456"/>
      <c r="BE172" s="1456"/>
    </row>
    <row r="173" spans="1:57" ht="15.75" customHeight="1">
      <c r="A173" s="1679"/>
      <c r="B173" s="1478"/>
      <c r="C173" s="1476"/>
      <c r="D173" s="1476"/>
      <c r="E173" s="1476"/>
      <c r="F173" s="1476"/>
      <c r="G173" s="1476"/>
      <c r="H173" s="2495" t="s">
        <v>2162</v>
      </c>
      <c r="I173" s="2495"/>
      <c r="J173" s="2495"/>
      <c r="K173" s="2495"/>
      <c r="L173" s="2495"/>
      <c r="M173" s="2495"/>
      <c r="N173" s="2495"/>
      <c r="O173" s="2495"/>
      <c r="P173" s="2495"/>
      <c r="Q173" s="2495"/>
      <c r="R173" s="2495"/>
      <c r="S173" s="2495"/>
      <c r="T173" s="2495"/>
      <c r="U173" s="2495"/>
      <c r="V173" s="2495"/>
      <c r="W173" s="2495"/>
      <c r="X173" s="2495"/>
      <c r="Y173" s="2495"/>
      <c r="Z173" s="2495"/>
      <c r="AA173" s="2495"/>
      <c r="AB173" s="2495"/>
      <c r="AC173" s="2495"/>
      <c r="AD173" s="2495"/>
      <c r="AE173" s="2495"/>
      <c r="AF173" s="2495"/>
      <c r="AG173" s="2495"/>
      <c r="AH173" s="2495"/>
      <c r="AI173" s="2495"/>
      <c r="AJ173" s="2495"/>
      <c r="AK173" s="2495"/>
      <c r="AL173" s="2495"/>
      <c r="AM173" s="2495"/>
      <c r="AN173" s="2495"/>
      <c r="AO173" s="2495"/>
      <c r="AP173" s="2495"/>
      <c r="AQ173" s="2495"/>
      <c r="AR173" s="2495"/>
      <c r="AS173" s="2495"/>
      <c r="AT173" s="2495"/>
      <c r="AU173" s="2495"/>
      <c r="AV173" s="2495"/>
      <c r="AW173" s="2495"/>
      <c r="AX173" s="2495"/>
      <c r="AY173" s="2495"/>
      <c r="AZ173" s="1476"/>
      <c r="BA173" s="1476"/>
      <c r="BB173" s="1476"/>
      <c r="BC173" s="1476"/>
      <c r="BD173" s="1456"/>
      <c r="BE173" s="1456"/>
    </row>
    <row r="174" spans="1:57" ht="15.75" customHeight="1">
      <c r="A174" s="1679"/>
      <c r="B174" s="1478"/>
      <c r="C174" s="1476"/>
      <c r="D174" s="1476"/>
      <c r="E174" s="1476"/>
      <c r="F174" s="1476"/>
      <c r="G174" s="1476"/>
      <c r="H174" s="1476"/>
      <c r="I174" s="1476"/>
      <c r="J174" s="1476"/>
      <c r="K174" s="1476"/>
      <c r="L174" s="1476"/>
      <c r="M174" s="1476"/>
      <c r="N174" s="1476"/>
      <c r="O174" s="1476"/>
      <c r="P174" s="1476"/>
      <c r="Q174" s="1476"/>
      <c r="R174" s="1476"/>
      <c r="S174" s="1476"/>
      <c r="T174" s="1476"/>
      <c r="U174" s="1476"/>
      <c r="V174" s="1476"/>
      <c r="W174" s="1476"/>
      <c r="X174" s="1476"/>
      <c r="Y174" s="1476"/>
      <c r="Z174" s="1476"/>
      <c r="AA174" s="1476"/>
      <c r="AB174" s="1476"/>
      <c r="AC174" s="1476"/>
      <c r="AD174" s="1476"/>
      <c r="AE174" s="1476"/>
      <c r="AF174" s="1476"/>
      <c r="AG174" s="1476"/>
      <c r="AH174" s="1476"/>
      <c r="AI174" s="1476"/>
      <c r="AJ174" s="1476"/>
      <c r="AK174" s="1476"/>
      <c r="AL174" s="1476"/>
      <c r="AM174" s="1476"/>
      <c r="AN174" s="1476"/>
      <c r="AO174" s="1476"/>
      <c r="AP174" s="1476"/>
      <c r="AQ174" s="1476"/>
      <c r="AR174" s="1476"/>
      <c r="AS174" s="1476"/>
      <c r="AT174" s="1476"/>
      <c r="AU174" s="1476"/>
      <c r="AV174" s="1476"/>
      <c r="AW174" s="1476"/>
      <c r="AX174" s="1476"/>
      <c r="AY174" s="1476"/>
      <c r="AZ174" s="1476"/>
      <c r="BA174" s="1476"/>
      <c r="BB174" s="1476"/>
      <c r="BC174" s="1476"/>
      <c r="BD174" s="1456"/>
      <c r="BE174" s="1456"/>
    </row>
    <row r="175" spans="1:57" ht="15.75" customHeight="1">
      <c r="A175" s="1679"/>
      <c r="B175" s="1478"/>
      <c r="C175" s="1476"/>
      <c r="D175" s="1476"/>
      <c r="E175" s="1476"/>
      <c r="F175" s="1476"/>
      <c r="G175" s="1476"/>
      <c r="H175" s="2496" t="s">
        <v>2163</v>
      </c>
      <c r="I175" s="2496"/>
      <c r="J175" s="2496"/>
      <c r="K175" s="2496"/>
      <c r="L175" s="2496"/>
      <c r="M175" s="2496"/>
      <c r="N175" s="2496"/>
      <c r="O175" s="2496"/>
      <c r="P175" s="2496"/>
      <c r="Q175" s="2496"/>
      <c r="R175" s="2496"/>
      <c r="S175" s="2496"/>
      <c r="T175" s="2496"/>
      <c r="U175" s="2496"/>
      <c r="V175" s="2496"/>
      <c r="W175" s="2496"/>
      <c r="X175" s="2496"/>
      <c r="Y175" s="2496"/>
      <c r="Z175" s="2496"/>
      <c r="AA175" s="2496"/>
      <c r="AB175" s="2496"/>
      <c r="AC175" s="2496"/>
      <c r="AD175" s="2496"/>
      <c r="AE175" s="2496"/>
      <c r="AF175" s="2496"/>
      <c r="AG175" s="2496"/>
      <c r="AH175" s="2496"/>
      <c r="AI175" s="2496"/>
      <c r="AJ175" s="2496"/>
      <c r="AK175" s="2496"/>
      <c r="AL175" s="2496"/>
      <c r="AM175" s="2496"/>
      <c r="AN175" s="2496"/>
      <c r="AO175" s="2496"/>
      <c r="AP175" s="2496"/>
      <c r="AQ175" s="2496"/>
      <c r="AR175" s="2496"/>
      <c r="AS175" s="2496"/>
      <c r="AT175" s="2496"/>
      <c r="AU175" s="2496"/>
      <c r="AV175" s="2496"/>
      <c r="AW175" s="2496"/>
      <c r="AX175" s="2496"/>
      <c r="AY175" s="2496"/>
      <c r="AZ175" s="2496"/>
      <c r="BA175" s="1476"/>
      <c r="BB175" s="1476"/>
      <c r="BC175" s="1476"/>
      <c r="BD175" s="1456"/>
      <c r="BE175" s="1456"/>
    </row>
    <row r="176" spans="1:57" ht="15.75" customHeight="1">
      <c r="A176" s="1679"/>
      <c r="B176" s="1449"/>
      <c r="C176" s="1476"/>
      <c r="D176" s="1476"/>
      <c r="E176" s="1476"/>
      <c r="F176" s="1476"/>
      <c r="G176" s="1476"/>
      <c r="H176" s="2496"/>
      <c r="I176" s="2496"/>
      <c r="J176" s="2496"/>
      <c r="K176" s="2496"/>
      <c r="L176" s="2496"/>
      <c r="M176" s="2496"/>
      <c r="N176" s="2496"/>
      <c r="O176" s="2496"/>
      <c r="P176" s="2496"/>
      <c r="Q176" s="2496"/>
      <c r="R176" s="2496"/>
      <c r="S176" s="2496"/>
      <c r="T176" s="2496"/>
      <c r="U176" s="2496"/>
      <c r="V176" s="2496"/>
      <c r="W176" s="2496"/>
      <c r="X176" s="2496"/>
      <c r="Y176" s="2496"/>
      <c r="Z176" s="2496"/>
      <c r="AA176" s="2496"/>
      <c r="AB176" s="2496"/>
      <c r="AC176" s="2496"/>
      <c r="AD176" s="2496"/>
      <c r="AE176" s="2496"/>
      <c r="AF176" s="2496"/>
      <c r="AG176" s="2496"/>
      <c r="AH176" s="2496"/>
      <c r="AI176" s="2496"/>
      <c r="AJ176" s="2496"/>
      <c r="AK176" s="2496"/>
      <c r="AL176" s="2496"/>
      <c r="AM176" s="2496"/>
      <c r="AN176" s="2496"/>
      <c r="AO176" s="2496"/>
      <c r="AP176" s="2496"/>
      <c r="AQ176" s="2496"/>
      <c r="AR176" s="2496"/>
      <c r="AS176" s="2496"/>
      <c r="AT176" s="2496"/>
      <c r="AU176" s="2496"/>
      <c r="AV176" s="2496"/>
      <c r="AW176" s="2496"/>
      <c r="AX176" s="2496"/>
      <c r="AY176" s="2496"/>
      <c r="AZ176" s="2496"/>
      <c r="BA176" s="1476"/>
      <c r="BB176" s="1476"/>
      <c r="BC176" s="1476"/>
      <c r="BD176" s="1456"/>
      <c r="BE176" s="1456"/>
    </row>
    <row r="177" spans="1:57" ht="15.75" customHeight="1">
      <c r="A177" s="1679"/>
      <c r="B177" s="1449"/>
      <c r="C177" s="1476"/>
      <c r="D177" s="1476"/>
      <c r="E177" s="1476"/>
      <c r="F177" s="1476"/>
      <c r="G177" s="1476"/>
      <c r="H177" s="2496"/>
      <c r="I177" s="2496"/>
      <c r="J177" s="2496"/>
      <c r="K177" s="2496"/>
      <c r="L177" s="2496"/>
      <c r="M177" s="2496"/>
      <c r="N177" s="2496"/>
      <c r="O177" s="2496"/>
      <c r="P177" s="2496"/>
      <c r="Q177" s="2496"/>
      <c r="R177" s="2496"/>
      <c r="S177" s="2496"/>
      <c r="T177" s="2496"/>
      <c r="U177" s="2496"/>
      <c r="V177" s="2496"/>
      <c r="W177" s="2496"/>
      <c r="X177" s="2496"/>
      <c r="Y177" s="2496"/>
      <c r="Z177" s="2496"/>
      <c r="AA177" s="2496"/>
      <c r="AB177" s="2496"/>
      <c r="AC177" s="2496"/>
      <c r="AD177" s="2496"/>
      <c r="AE177" s="2496"/>
      <c r="AF177" s="2496"/>
      <c r="AG177" s="2496"/>
      <c r="AH177" s="2496"/>
      <c r="AI177" s="2496"/>
      <c r="AJ177" s="2496"/>
      <c r="AK177" s="2496"/>
      <c r="AL177" s="2496"/>
      <c r="AM177" s="2496"/>
      <c r="AN177" s="2496"/>
      <c r="AO177" s="2496"/>
      <c r="AP177" s="2496"/>
      <c r="AQ177" s="2496"/>
      <c r="AR177" s="2496"/>
      <c r="AS177" s="2496"/>
      <c r="AT177" s="2496"/>
      <c r="AU177" s="2496"/>
      <c r="AV177" s="2496"/>
      <c r="AW177" s="2496"/>
      <c r="AX177" s="2496"/>
      <c r="AY177" s="2496"/>
      <c r="AZ177" s="2496"/>
      <c r="BA177" s="1476"/>
      <c r="BB177" s="1476"/>
      <c r="BC177" s="1476"/>
      <c r="BD177" s="1456"/>
      <c r="BE177" s="1456"/>
    </row>
    <row r="178" spans="1:57" ht="15.75" customHeight="1">
      <c r="A178" s="1679"/>
      <c r="B178" s="1449"/>
      <c r="C178" s="1476"/>
      <c r="D178" s="1476"/>
      <c r="E178" s="1476"/>
      <c r="F178" s="1476"/>
      <c r="G178" s="1476"/>
      <c r="H178" s="1480"/>
      <c r="I178" s="1480"/>
      <c r="J178" s="1480"/>
      <c r="K178" s="1480"/>
      <c r="L178" s="1480"/>
      <c r="M178" s="1480"/>
      <c r="N178" s="1480"/>
      <c r="O178" s="1480"/>
      <c r="P178" s="1480"/>
      <c r="Q178" s="1480"/>
      <c r="R178" s="1480"/>
      <c r="S178" s="1480"/>
      <c r="T178" s="1480"/>
      <c r="U178" s="1480"/>
      <c r="V178" s="1480"/>
      <c r="W178" s="1480"/>
      <c r="X178" s="1480"/>
      <c r="Y178" s="1480"/>
      <c r="Z178" s="1480"/>
      <c r="AA178" s="1480"/>
      <c r="AB178" s="1480"/>
      <c r="AC178" s="1480"/>
      <c r="AD178" s="1480"/>
      <c r="AE178" s="1480"/>
      <c r="AF178" s="1480"/>
      <c r="AG178" s="1480"/>
      <c r="AH178" s="1480"/>
      <c r="AI178" s="1480"/>
      <c r="AJ178" s="1480"/>
      <c r="AK178" s="1480"/>
      <c r="AL178" s="1480"/>
      <c r="AM178" s="1480"/>
      <c r="AN178" s="1480"/>
      <c r="AO178" s="1480"/>
      <c r="AP178" s="1480"/>
      <c r="AQ178" s="1480"/>
      <c r="AR178" s="1480"/>
      <c r="AS178" s="1480"/>
      <c r="AT178" s="1480"/>
      <c r="AU178" s="1480"/>
      <c r="AV178" s="1480"/>
      <c r="AW178" s="1480"/>
      <c r="AX178" s="1480"/>
      <c r="AY178" s="1480"/>
      <c r="AZ178" s="1476"/>
      <c r="BA178" s="1476"/>
      <c r="BB178" s="1476"/>
      <c r="BC178" s="1476"/>
      <c r="BD178" s="1456"/>
      <c r="BE178" s="1456"/>
    </row>
    <row r="179" spans="1:57" ht="15.75" customHeight="1">
      <c r="A179" s="1679"/>
      <c r="B179" s="1449"/>
      <c r="C179" s="1476"/>
      <c r="D179" s="1476"/>
      <c r="E179" s="1476"/>
      <c r="F179" s="1476"/>
      <c r="G179" s="1476"/>
      <c r="H179" s="1476"/>
      <c r="I179" s="1476"/>
      <c r="J179" s="1476"/>
      <c r="K179" s="1476"/>
      <c r="L179" s="1476"/>
      <c r="M179" s="1476"/>
      <c r="N179" s="1476"/>
      <c r="O179" s="1476"/>
      <c r="P179" s="1476"/>
      <c r="Q179" s="1476"/>
      <c r="R179" s="1476"/>
      <c r="S179" s="1476"/>
      <c r="T179" s="1476"/>
      <c r="U179" s="1476"/>
      <c r="V179" s="1476"/>
      <c r="W179" s="1476"/>
      <c r="X179" s="1476"/>
      <c r="Y179" s="1476"/>
      <c r="Z179" s="1476"/>
      <c r="AA179" s="1476"/>
      <c r="AB179" s="1476"/>
      <c r="AC179" s="1476"/>
      <c r="AD179" s="1476"/>
      <c r="AE179" s="1476"/>
      <c r="AF179" s="1476"/>
      <c r="AG179" s="1476"/>
      <c r="AH179" s="1476"/>
      <c r="AI179" s="1476"/>
      <c r="AJ179" s="1476"/>
      <c r="AK179" s="1476"/>
      <c r="AL179" s="1476"/>
      <c r="AM179" s="1476"/>
      <c r="AN179" s="1476"/>
      <c r="AO179" s="1476"/>
      <c r="AP179" s="1476"/>
      <c r="AQ179" s="1476"/>
      <c r="AR179" s="1476"/>
      <c r="AS179" s="1476"/>
      <c r="AT179" s="1476"/>
      <c r="AU179" s="1476"/>
      <c r="AV179" s="1476"/>
      <c r="AW179" s="1476"/>
      <c r="AX179" s="1476"/>
      <c r="AY179" s="1476"/>
      <c r="AZ179" s="1476"/>
      <c r="BA179" s="1476"/>
      <c r="BB179" s="1476"/>
      <c r="BC179" s="1476"/>
      <c r="BD179" s="1456"/>
      <c r="BE179" s="1456"/>
    </row>
    <row r="180" spans="1:57" ht="15.75" customHeight="1" thickBot="1">
      <c r="A180" s="1679"/>
      <c r="B180" s="1481"/>
      <c r="C180" s="1482"/>
      <c r="D180" s="1482"/>
      <c r="E180" s="1482"/>
      <c r="F180" s="1482"/>
      <c r="G180" s="1482"/>
      <c r="H180" s="2497" t="s">
        <v>2164</v>
      </c>
      <c r="I180" s="2497"/>
      <c r="J180" s="2497"/>
      <c r="K180" s="2497"/>
      <c r="L180" s="2497"/>
      <c r="M180" s="2497"/>
      <c r="N180" s="2497"/>
      <c r="O180" s="2497"/>
      <c r="P180" s="2497"/>
      <c r="Q180" s="2497"/>
      <c r="R180" s="2497"/>
      <c r="S180" s="2497"/>
      <c r="T180" s="2497"/>
      <c r="U180" s="2497"/>
      <c r="V180" s="2497"/>
      <c r="W180" s="2497"/>
      <c r="X180" s="2497"/>
      <c r="Y180" s="2497"/>
      <c r="Z180" s="2497"/>
      <c r="AA180" s="2497"/>
      <c r="AB180" s="2497"/>
      <c r="AC180" s="2497"/>
      <c r="AD180" s="2497"/>
      <c r="AE180" s="2497"/>
      <c r="AF180" s="2497"/>
      <c r="AG180" s="2497"/>
      <c r="AH180" s="2497"/>
      <c r="AI180" s="2497"/>
      <c r="AJ180" s="2497"/>
      <c r="AK180" s="2497"/>
      <c r="AL180" s="2497"/>
      <c r="AM180" s="2497"/>
      <c r="AN180" s="2497"/>
      <c r="AO180" s="2497"/>
      <c r="AP180" s="2497"/>
      <c r="AQ180" s="2497"/>
      <c r="AR180" s="2497"/>
      <c r="AS180" s="2497"/>
      <c r="AT180" s="2497"/>
      <c r="AU180" s="2497"/>
      <c r="AV180" s="2497"/>
      <c r="AW180" s="1482"/>
      <c r="AX180" s="1482"/>
      <c r="AY180" s="1482"/>
      <c r="AZ180" s="1482"/>
      <c r="BA180" s="1482"/>
      <c r="BB180" s="1482"/>
      <c r="BC180" s="1482"/>
      <c r="BD180" s="1483"/>
      <c r="BE180" s="1456"/>
    </row>
    <row r="181" spans="1:57" ht="15.75" customHeight="1" thickBot="1">
      <c r="A181" s="1679"/>
      <c r="B181" s="1484"/>
      <c r="C181" s="1485"/>
      <c r="D181" s="1485"/>
      <c r="E181" s="1485"/>
      <c r="F181" s="1485"/>
      <c r="G181" s="1485"/>
      <c r="H181" s="1485"/>
      <c r="I181" s="1485"/>
      <c r="J181" s="1485"/>
      <c r="K181" s="1485"/>
      <c r="L181" s="1485"/>
      <c r="M181" s="1485"/>
      <c r="N181" s="1485"/>
      <c r="O181" s="1485"/>
      <c r="P181" s="1485"/>
      <c r="Q181" s="1485"/>
      <c r="R181" s="1485"/>
      <c r="S181" s="1485"/>
      <c r="T181" s="1485"/>
      <c r="U181" s="1485"/>
      <c r="V181" s="1485"/>
      <c r="W181" s="1485"/>
      <c r="X181" s="1485"/>
      <c r="Y181" s="1485"/>
      <c r="Z181" s="1485"/>
      <c r="AA181" s="1485"/>
      <c r="AB181" s="1485"/>
      <c r="AC181" s="1485"/>
      <c r="AD181" s="1485"/>
      <c r="AE181" s="1485"/>
      <c r="AF181" s="1485"/>
      <c r="AG181" s="1485"/>
      <c r="AH181" s="1485"/>
      <c r="AI181" s="1485"/>
      <c r="AJ181" s="1485"/>
      <c r="AK181" s="1485"/>
      <c r="AL181" s="1485"/>
      <c r="AM181" s="1485"/>
      <c r="AN181" s="1485"/>
      <c r="AO181" s="1485"/>
      <c r="AP181" s="1485"/>
      <c r="AQ181" s="1485"/>
      <c r="AR181" s="1485"/>
      <c r="AS181" s="1485"/>
      <c r="AT181" s="1485"/>
      <c r="AU181" s="1485"/>
      <c r="AV181" s="1485"/>
      <c r="AW181" s="1485"/>
      <c r="AX181" s="1485"/>
      <c r="AY181" s="1485"/>
      <c r="AZ181" s="1485"/>
      <c r="BA181" s="1485"/>
      <c r="BB181" s="1485"/>
      <c r="BC181" s="1485"/>
      <c r="BD181" s="1486"/>
      <c r="BE181" s="1456"/>
    </row>
    <row r="182" spans="1:57" ht="15.75" customHeight="1" thickBot="1">
      <c r="A182" s="1679"/>
      <c r="B182" s="1484"/>
      <c r="C182" s="1485"/>
      <c r="D182" s="1485"/>
      <c r="E182" s="1485"/>
      <c r="F182" s="1485"/>
      <c r="G182" s="1485"/>
      <c r="H182" s="2490" t="s">
        <v>2165</v>
      </c>
      <c r="I182" s="2490"/>
      <c r="J182" s="2490"/>
      <c r="K182" s="2490"/>
      <c r="L182" s="1485"/>
      <c r="M182" s="1485"/>
      <c r="N182" s="1485"/>
      <c r="O182" s="1485"/>
      <c r="P182" s="1485"/>
      <c r="Q182" s="1485"/>
      <c r="R182" s="1485"/>
      <c r="S182" s="2487"/>
      <c r="T182" s="2488"/>
      <c r="U182" s="2488"/>
      <c r="V182" s="2488"/>
      <c r="W182" s="2488"/>
      <c r="X182" s="2488"/>
      <c r="Y182" s="2488"/>
      <c r="Z182" s="2488"/>
      <c r="AA182" s="2488"/>
      <c r="AB182" s="2488"/>
      <c r="AC182" s="2488"/>
      <c r="AD182" s="2488"/>
      <c r="AE182" s="2488"/>
      <c r="AF182" s="2488"/>
      <c r="AG182" s="2488"/>
      <c r="AH182" s="2488"/>
      <c r="AI182" s="2488"/>
      <c r="AJ182" s="2489"/>
      <c r="AK182" s="1485"/>
      <c r="AL182" s="1485"/>
      <c r="AM182" s="1485"/>
      <c r="AN182" s="1485"/>
      <c r="AO182" s="1485"/>
      <c r="AP182" s="1485"/>
      <c r="AQ182" s="1485"/>
      <c r="AR182" s="1485"/>
      <c r="AS182" s="1485"/>
      <c r="AT182" s="1485"/>
      <c r="AU182" s="1485"/>
      <c r="AV182" s="1485"/>
      <c r="AW182" s="1485"/>
      <c r="AX182" s="1485"/>
      <c r="AY182" s="1485"/>
      <c r="AZ182" s="1485"/>
      <c r="BA182" s="1485"/>
      <c r="BB182" s="1485"/>
      <c r="BC182" s="1485"/>
      <c r="BD182" s="1486"/>
      <c r="BE182" s="1456"/>
    </row>
    <row r="183" spans="1:57" ht="15.75" customHeight="1" thickBot="1">
      <c r="A183" s="1679"/>
      <c r="B183" s="1484"/>
      <c r="C183" s="1485"/>
      <c r="D183" s="1485"/>
      <c r="E183" s="1485"/>
      <c r="F183" s="1485"/>
      <c r="G183" s="1485"/>
      <c r="H183" s="1487"/>
      <c r="I183" s="1487"/>
      <c r="J183" s="1487"/>
      <c r="K183" s="1487"/>
      <c r="L183" s="1485"/>
      <c r="M183" s="1485"/>
      <c r="N183" s="1485"/>
      <c r="O183" s="1485"/>
      <c r="P183" s="1485"/>
      <c r="Q183" s="1485"/>
      <c r="R183" s="1485"/>
      <c r="S183" s="1485"/>
      <c r="T183" s="1485"/>
      <c r="U183" s="1485"/>
      <c r="V183" s="1485"/>
      <c r="W183" s="1485"/>
      <c r="X183" s="1485"/>
      <c r="Y183" s="1485"/>
      <c r="Z183" s="1485"/>
      <c r="AA183" s="1485"/>
      <c r="AB183" s="1485"/>
      <c r="AC183" s="1485"/>
      <c r="AD183" s="1485"/>
      <c r="AE183" s="1485"/>
      <c r="AF183" s="1485"/>
      <c r="AG183" s="1485"/>
      <c r="AH183" s="1485"/>
      <c r="AI183" s="1485"/>
      <c r="AJ183" s="1485"/>
      <c r="AK183" s="1485"/>
      <c r="AL183" s="1485"/>
      <c r="AM183" s="1485"/>
      <c r="AN183" s="1485"/>
      <c r="AO183" s="1485"/>
      <c r="AP183" s="1485"/>
      <c r="AQ183" s="1485"/>
      <c r="AR183" s="1485"/>
      <c r="AS183" s="1485"/>
      <c r="AT183" s="1485"/>
      <c r="AU183" s="1485"/>
      <c r="AV183" s="1485"/>
      <c r="AW183" s="1485"/>
      <c r="AX183" s="1485"/>
      <c r="AY183" s="1485"/>
      <c r="AZ183" s="1485"/>
      <c r="BA183" s="1485"/>
      <c r="BB183" s="1485"/>
      <c r="BC183" s="1485"/>
      <c r="BD183" s="1486"/>
      <c r="BE183" s="1456"/>
    </row>
    <row r="184" spans="1:57" ht="15.75" customHeight="1" thickBot="1">
      <c r="A184" s="1679"/>
      <c r="B184" s="1484"/>
      <c r="C184" s="1485"/>
      <c r="D184" s="1485"/>
      <c r="E184" s="1485"/>
      <c r="F184" s="1485"/>
      <c r="G184" s="1485"/>
      <c r="H184" s="2490" t="s">
        <v>2166</v>
      </c>
      <c r="I184" s="2490"/>
      <c r="J184" s="2490"/>
      <c r="K184" s="1487"/>
      <c r="L184" s="1485"/>
      <c r="M184" s="1485"/>
      <c r="N184" s="1485"/>
      <c r="O184" s="1485"/>
      <c r="P184" s="1485"/>
      <c r="Q184" s="1485"/>
      <c r="R184" s="1485"/>
      <c r="S184" s="2487"/>
      <c r="T184" s="2488"/>
      <c r="U184" s="2488"/>
      <c r="V184" s="2488"/>
      <c r="W184" s="2488"/>
      <c r="X184" s="2488"/>
      <c r="Y184" s="2488"/>
      <c r="Z184" s="2488"/>
      <c r="AA184" s="2488"/>
      <c r="AB184" s="2488"/>
      <c r="AC184" s="2488"/>
      <c r="AD184" s="2488"/>
      <c r="AE184" s="2488"/>
      <c r="AF184" s="2488"/>
      <c r="AG184" s="2488"/>
      <c r="AH184" s="2488"/>
      <c r="AI184" s="2488"/>
      <c r="AJ184" s="2489"/>
      <c r="AK184" s="1485"/>
      <c r="AL184" s="1485"/>
      <c r="AM184" s="1485"/>
      <c r="AN184" s="1485"/>
      <c r="AO184" s="1485"/>
      <c r="AP184" s="1485"/>
      <c r="AQ184" s="1485"/>
      <c r="AR184" s="1485"/>
      <c r="AS184" s="1485"/>
      <c r="AT184" s="1485"/>
      <c r="AU184" s="1485"/>
      <c r="AV184" s="1485"/>
      <c r="AW184" s="1485"/>
      <c r="AX184" s="1485"/>
      <c r="AY184" s="1485"/>
      <c r="AZ184" s="1485"/>
      <c r="BA184" s="1485"/>
      <c r="BB184" s="1485"/>
      <c r="BC184" s="1485"/>
      <c r="BD184" s="1486"/>
      <c r="BE184" s="1456"/>
    </row>
    <row r="185" spans="1:57" ht="15.75" customHeight="1" thickBot="1">
      <c r="A185" s="1679"/>
      <c r="B185" s="1484"/>
      <c r="C185" s="1485"/>
      <c r="D185" s="1485"/>
      <c r="E185" s="1485"/>
      <c r="F185" s="1485"/>
      <c r="G185" s="1485"/>
      <c r="H185" s="1487"/>
      <c r="I185" s="1487"/>
      <c r="J185" s="1487"/>
      <c r="K185" s="1487"/>
      <c r="L185" s="1485"/>
      <c r="M185" s="1485"/>
      <c r="N185" s="1485"/>
      <c r="O185" s="1485"/>
      <c r="P185" s="1485"/>
      <c r="Q185" s="1485"/>
      <c r="R185" s="1485"/>
      <c r="S185" s="1485"/>
      <c r="T185" s="1485"/>
      <c r="U185" s="1485"/>
      <c r="V185" s="1485"/>
      <c r="W185" s="1485"/>
      <c r="X185" s="1485"/>
      <c r="Y185" s="1485"/>
      <c r="Z185" s="1485"/>
      <c r="AA185" s="1485"/>
      <c r="AB185" s="1485"/>
      <c r="AC185" s="1485"/>
      <c r="AD185" s="1485"/>
      <c r="AE185" s="1485"/>
      <c r="AF185" s="1485"/>
      <c r="AG185" s="1485"/>
      <c r="AH185" s="1485"/>
      <c r="AI185" s="1485"/>
      <c r="AJ185" s="1485"/>
      <c r="AK185" s="1485"/>
      <c r="AL185" s="1485"/>
      <c r="AM185" s="1485"/>
      <c r="AN185" s="1485"/>
      <c r="AO185" s="1485"/>
      <c r="AP185" s="1485"/>
      <c r="AQ185" s="1485"/>
      <c r="AR185" s="1485"/>
      <c r="AS185" s="1485"/>
      <c r="AT185" s="1485"/>
      <c r="AU185" s="1485"/>
      <c r="AV185" s="1485"/>
      <c r="AW185" s="1485"/>
      <c r="AX185" s="1485"/>
      <c r="AY185" s="1485"/>
      <c r="AZ185" s="1485"/>
      <c r="BA185" s="1485"/>
      <c r="BB185" s="1485"/>
      <c r="BC185" s="1485"/>
      <c r="BD185" s="1486"/>
      <c r="BE185" s="1456"/>
    </row>
    <row r="186" spans="1:57" ht="15.75" customHeight="1" thickBot="1">
      <c r="A186" s="1679"/>
      <c r="B186" s="1484"/>
      <c r="C186" s="1485"/>
      <c r="D186" s="1485"/>
      <c r="E186" s="1485"/>
      <c r="F186" s="1485"/>
      <c r="G186" s="1485"/>
      <c r="H186" s="2490" t="s">
        <v>466</v>
      </c>
      <c r="I186" s="2490"/>
      <c r="J186" s="1487"/>
      <c r="K186" s="1487"/>
      <c r="L186" s="1485"/>
      <c r="M186" s="1485"/>
      <c r="N186" s="1485"/>
      <c r="O186" s="1485"/>
      <c r="P186" s="1485"/>
      <c r="Q186" s="1485"/>
      <c r="R186" s="1485"/>
      <c r="S186" s="2487"/>
      <c r="T186" s="2488"/>
      <c r="U186" s="2488"/>
      <c r="V186" s="2488"/>
      <c r="W186" s="2488"/>
      <c r="X186" s="2488"/>
      <c r="Y186" s="2488"/>
      <c r="Z186" s="2488"/>
      <c r="AA186" s="2488"/>
      <c r="AB186" s="2488"/>
      <c r="AC186" s="2488"/>
      <c r="AD186" s="2488"/>
      <c r="AE186" s="2488"/>
      <c r="AF186" s="2488"/>
      <c r="AG186" s="2488"/>
      <c r="AH186" s="2488"/>
      <c r="AI186" s="2488"/>
      <c r="AJ186" s="2489"/>
      <c r="AK186" s="1485"/>
      <c r="AL186" s="1485"/>
      <c r="AM186" s="1485"/>
      <c r="AN186" s="1485"/>
      <c r="AO186" s="1485"/>
      <c r="AP186" s="1485"/>
      <c r="AQ186" s="1485"/>
      <c r="AR186" s="1485"/>
      <c r="AS186" s="1485"/>
      <c r="AT186" s="1485"/>
      <c r="AU186" s="1485"/>
      <c r="AV186" s="1485"/>
      <c r="AW186" s="1485"/>
      <c r="AX186" s="1485"/>
      <c r="AY186" s="1485"/>
      <c r="AZ186" s="1485"/>
      <c r="BA186" s="1485"/>
      <c r="BB186" s="1485"/>
      <c r="BC186" s="1485"/>
      <c r="BD186" s="1486"/>
      <c r="BE186" s="1456"/>
    </row>
    <row r="187" spans="1:57" ht="15.75" customHeight="1" thickBot="1">
      <c r="A187" s="1679"/>
      <c r="B187" s="1484"/>
      <c r="C187" s="1485"/>
      <c r="D187" s="1485"/>
      <c r="E187" s="1485"/>
      <c r="F187" s="1485"/>
      <c r="G187" s="1485"/>
      <c r="H187" s="1485"/>
      <c r="I187" s="1485"/>
      <c r="J187" s="1485"/>
      <c r="K187" s="1485"/>
      <c r="L187" s="1485"/>
      <c r="M187" s="1485"/>
      <c r="N187" s="1485"/>
      <c r="O187" s="1485"/>
      <c r="P187" s="1485"/>
      <c r="Q187" s="1485"/>
      <c r="R187" s="1485"/>
      <c r="S187" s="1485"/>
      <c r="T187" s="1485"/>
      <c r="U187" s="1485"/>
      <c r="V187" s="1485"/>
      <c r="W187" s="1485"/>
      <c r="X187" s="1485"/>
      <c r="Y187" s="1485"/>
      <c r="Z187" s="1485"/>
      <c r="AA187" s="1485"/>
      <c r="AB187" s="1485"/>
      <c r="AC187" s="1485"/>
      <c r="AD187" s="1485"/>
      <c r="AE187" s="1485"/>
      <c r="AF187" s="1485"/>
      <c r="AG187" s="1485"/>
      <c r="AH187" s="1485"/>
      <c r="AI187" s="1485"/>
      <c r="AJ187" s="1485"/>
      <c r="AK187" s="1485"/>
      <c r="AL187" s="1485"/>
      <c r="AM187" s="1485"/>
      <c r="AN187" s="1485"/>
      <c r="AO187" s="1485"/>
      <c r="AP187" s="1485"/>
      <c r="AQ187" s="1485"/>
      <c r="AR187" s="1485"/>
      <c r="AS187" s="1485"/>
      <c r="AT187" s="1485"/>
      <c r="AU187" s="1485"/>
      <c r="AV187" s="1485"/>
      <c r="AW187" s="1485"/>
      <c r="AX187" s="1485"/>
      <c r="AY187" s="1485"/>
      <c r="AZ187" s="1485"/>
      <c r="BA187" s="1485"/>
      <c r="BB187" s="1485"/>
      <c r="BC187" s="1485"/>
      <c r="BD187" s="1486"/>
      <c r="BE187" s="1456"/>
    </row>
    <row r="188" spans="1:57" ht="15.75" customHeight="1" thickBot="1">
      <c r="A188" s="1679"/>
      <c r="B188" s="1484"/>
      <c r="C188" s="1485"/>
      <c r="D188" s="1485"/>
      <c r="E188" s="1485"/>
      <c r="F188" s="1485"/>
      <c r="G188" s="1485"/>
      <c r="H188" s="2491" t="s">
        <v>2167</v>
      </c>
      <c r="I188" s="2491"/>
      <c r="J188" s="2491"/>
      <c r="K188" s="2491"/>
      <c r="L188" s="2491"/>
      <c r="M188" s="2491"/>
      <c r="N188" s="2491"/>
      <c r="O188" s="2491"/>
      <c r="P188" s="1485"/>
      <c r="Q188" s="1485"/>
      <c r="R188" s="1485"/>
      <c r="S188" s="2487"/>
      <c r="T188" s="2488"/>
      <c r="U188" s="2488"/>
      <c r="V188" s="2488"/>
      <c r="W188" s="2488"/>
      <c r="X188" s="2488"/>
      <c r="Y188" s="2488"/>
      <c r="Z188" s="2488"/>
      <c r="AA188" s="2488"/>
      <c r="AB188" s="2488"/>
      <c r="AC188" s="2488"/>
      <c r="AD188" s="2488"/>
      <c r="AE188" s="2488"/>
      <c r="AF188" s="2488"/>
      <c r="AG188" s="2488"/>
      <c r="AH188" s="2488"/>
      <c r="AI188" s="2488"/>
      <c r="AJ188" s="2489"/>
      <c r="AK188" s="1485"/>
      <c r="AL188" s="1485"/>
      <c r="AM188" s="1485"/>
      <c r="AN188" s="1485"/>
      <c r="AO188" s="1485"/>
      <c r="AP188" s="1485"/>
      <c r="AQ188" s="1485"/>
      <c r="AR188" s="1485"/>
      <c r="AS188" s="1485"/>
      <c r="AT188" s="1485"/>
      <c r="AU188" s="1485"/>
      <c r="AV188" s="1485"/>
      <c r="AW188" s="1485"/>
      <c r="AX188" s="1485"/>
      <c r="AY188" s="1485"/>
      <c r="AZ188" s="1485"/>
      <c r="BA188" s="1485"/>
      <c r="BB188" s="1485"/>
      <c r="BC188" s="1485"/>
      <c r="BD188" s="1486"/>
      <c r="BE188" s="1456"/>
    </row>
    <row r="189" spans="1:57" ht="15.75" customHeight="1" thickBot="1">
      <c r="A189" s="1679"/>
      <c r="B189" s="1484"/>
      <c r="C189" s="1485"/>
      <c r="D189" s="1485"/>
      <c r="E189" s="1485"/>
      <c r="F189" s="1485"/>
      <c r="G189" s="1485"/>
      <c r="H189" s="1485"/>
      <c r="I189" s="1485"/>
      <c r="J189" s="1485"/>
      <c r="K189" s="1485"/>
      <c r="L189" s="1485"/>
      <c r="M189" s="1485"/>
      <c r="N189" s="1485"/>
      <c r="O189" s="1485"/>
      <c r="P189" s="1485"/>
      <c r="Q189" s="1485"/>
      <c r="R189" s="1485"/>
      <c r="S189" s="1485"/>
      <c r="T189" s="1485"/>
      <c r="U189" s="1485"/>
      <c r="V189" s="1485"/>
      <c r="W189" s="1485"/>
      <c r="X189" s="1485"/>
      <c r="Y189" s="1485"/>
      <c r="Z189" s="1485"/>
      <c r="AA189" s="1485"/>
      <c r="AB189" s="1485"/>
      <c r="AC189" s="1485"/>
      <c r="AD189" s="1485"/>
      <c r="AE189" s="1485"/>
      <c r="AF189" s="1485"/>
      <c r="AG189" s="1485"/>
      <c r="AH189" s="1485"/>
      <c r="AI189" s="1485"/>
      <c r="AJ189" s="1485"/>
      <c r="AK189" s="1485"/>
      <c r="AL189" s="1485"/>
      <c r="AM189" s="1485"/>
      <c r="AN189" s="1485"/>
      <c r="AO189" s="1485"/>
      <c r="AP189" s="1485"/>
      <c r="AQ189" s="1485"/>
      <c r="AR189" s="1485"/>
      <c r="AS189" s="1485"/>
      <c r="AT189" s="1485"/>
      <c r="AU189" s="1485"/>
      <c r="AV189" s="1485"/>
      <c r="AW189" s="1485"/>
      <c r="AX189" s="1485"/>
      <c r="AY189" s="1485"/>
      <c r="AZ189" s="1485"/>
      <c r="BA189" s="1485"/>
      <c r="BB189" s="1485"/>
      <c r="BC189" s="1485"/>
      <c r="BD189" s="1486"/>
      <c r="BE189" s="1456"/>
    </row>
    <row r="190" spans="1:57" ht="15.75" customHeight="1" thickBot="1">
      <c r="A190" s="1679"/>
      <c r="B190" s="1484"/>
      <c r="C190" s="1485"/>
      <c r="D190" s="1485"/>
      <c r="E190" s="1485"/>
      <c r="F190" s="1485"/>
      <c r="G190" s="1485"/>
      <c r="H190" s="2486" t="s">
        <v>2168</v>
      </c>
      <c r="I190" s="2486"/>
      <c r="J190" s="1485"/>
      <c r="K190" s="1485"/>
      <c r="L190" s="1485"/>
      <c r="M190" s="1485"/>
      <c r="N190" s="1485"/>
      <c r="O190" s="1485"/>
      <c r="P190" s="1485"/>
      <c r="Q190" s="1485"/>
      <c r="R190" s="1485"/>
      <c r="S190" s="2487"/>
      <c r="T190" s="2488"/>
      <c r="U190" s="2488"/>
      <c r="V190" s="2488"/>
      <c r="W190" s="2488"/>
      <c r="X190" s="2488"/>
      <c r="Y190" s="2488"/>
      <c r="Z190" s="2488"/>
      <c r="AA190" s="2488"/>
      <c r="AB190" s="2488"/>
      <c r="AC190" s="2488"/>
      <c r="AD190" s="2488"/>
      <c r="AE190" s="2488"/>
      <c r="AF190" s="2488"/>
      <c r="AG190" s="2488"/>
      <c r="AH190" s="2488"/>
      <c r="AI190" s="2488"/>
      <c r="AJ190" s="2489"/>
      <c r="AK190" s="1485"/>
      <c r="AL190" s="1485"/>
      <c r="AM190" s="1485"/>
      <c r="AN190" s="1485"/>
      <c r="AO190" s="1485"/>
      <c r="AP190" s="1485"/>
      <c r="AQ190" s="1485"/>
      <c r="AR190" s="1485"/>
      <c r="AS190" s="1485"/>
      <c r="AT190" s="1485"/>
      <c r="AU190" s="1485"/>
      <c r="AV190" s="1485"/>
      <c r="AW190" s="1485"/>
      <c r="AX190" s="1485"/>
      <c r="AY190" s="1485"/>
      <c r="AZ190" s="1485"/>
      <c r="BA190" s="1485"/>
      <c r="BB190" s="1485"/>
      <c r="BC190" s="1485"/>
      <c r="BD190" s="1486"/>
      <c r="BE190" s="1456"/>
    </row>
    <row r="191" spans="1:57" ht="15.75" customHeight="1" thickBot="1">
      <c r="A191" s="1679"/>
      <c r="B191" s="1488"/>
      <c r="C191" s="1489"/>
      <c r="D191" s="1489"/>
      <c r="E191" s="1489"/>
      <c r="F191" s="1489"/>
      <c r="G191" s="1489"/>
      <c r="H191" s="1489"/>
      <c r="I191" s="1489"/>
      <c r="J191" s="1489"/>
      <c r="K191" s="1489"/>
      <c r="L191" s="1489"/>
      <c r="M191" s="1489"/>
      <c r="N191" s="1489"/>
      <c r="O191" s="1489"/>
      <c r="P191" s="1489"/>
      <c r="Q191" s="1489"/>
      <c r="R191" s="1489"/>
      <c r="S191" s="1489"/>
      <c r="T191" s="1489"/>
      <c r="U191" s="1489"/>
      <c r="V191" s="1489"/>
      <c r="W191" s="1489"/>
      <c r="X191" s="1489"/>
      <c r="Y191" s="1489"/>
      <c r="Z191" s="1489"/>
      <c r="AA191" s="1489"/>
      <c r="AB191" s="1489"/>
      <c r="AC191" s="1489"/>
      <c r="AD191" s="1489"/>
      <c r="AE191" s="1489"/>
      <c r="AF191" s="1489"/>
      <c r="AG191" s="1489"/>
      <c r="AH191" s="1489"/>
      <c r="AI191" s="1489"/>
      <c r="AJ191" s="1489"/>
      <c r="AK191" s="1489"/>
      <c r="AL191" s="1489"/>
      <c r="AM191" s="1489"/>
      <c r="AN191" s="1489"/>
      <c r="AO191" s="1489"/>
      <c r="AP191" s="1489"/>
      <c r="AQ191" s="1489"/>
      <c r="AR191" s="1489"/>
      <c r="AS191" s="1489"/>
      <c r="AT191" s="1489"/>
      <c r="AU191" s="1489"/>
      <c r="AV191" s="1489"/>
      <c r="AW191" s="1489"/>
      <c r="AX191" s="1489"/>
      <c r="AY191" s="1489"/>
      <c r="AZ191" s="1489"/>
      <c r="BA191" s="1489"/>
      <c r="BB191" s="1489"/>
      <c r="BC191" s="1489"/>
      <c r="BD191" s="1490"/>
      <c r="BE191" s="1456"/>
    </row>
    <row r="192" spans="1:57" ht="15.75" customHeight="1" thickBot="1">
      <c r="A192" s="1482"/>
      <c r="B192" s="1482"/>
      <c r="C192" s="1482"/>
      <c r="D192" s="1482"/>
      <c r="E192" s="1482"/>
      <c r="F192" s="1482"/>
      <c r="G192" s="1482"/>
      <c r="H192" s="1482"/>
      <c r="I192" s="1482"/>
      <c r="J192" s="1482"/>
      <c r="K192" s="1482"/>
      <c r="L192" s="1482"/>
      <c r="M192" s="1482"/>
      <c r="N192" s="1482"/>
      <c r="O192" s="1482"/>
      <c r="P192" s="1482"/>
      <c r="Q192" s="1482"/>
      <c r="R192" s="1482"/>
      <c r="S192" s="1482"/>
      <c r="T192" s="1482"/>
      <c r="U192" s="1482"/>
      <c r="V192" s="1482"/>
      <c r="W192" s="1482"/>
      <c r="X192" s="1482"/>
      <c r="Y192" s="1482"/>
      <c r="Z192" s="1482"/>
      <c r="AA192" s="1482"/>
      <c r="AB192" s="1482"/>
      <c r="AC192" s="1482"/>
      <c r="AD192" s="1482"/>
      <c r="AE192" s="1482"/>
      <c r="AF192" s="1482"/>
      <c r="AG192" s="1482"/>
      <c r="AH192" s="1482"/>
      <c r="AI192" s="1482"/>
      <c r="AJ192" s="1482"/>
      <c r="AK192" s="1482"/>
      <c r="AL192" s="1482"/>
      <c r="AM192" s="1482"/>
      <c r="AN192" s="1482"/>
      <c r="AO192" s="1482"/>
      <c r="AP192" s="1482"/>
      <c r="AQ192" s="1482"/>
      <c r="AR192" s="1482"/>
      <c r="AS192" s="1482"/>
      <c r="AT192" s="1482"/>
      <c r="AU192" s="1482"/>
      <c r="AV192" s="1482"/>
      <c r="AW192" s="1482"/>
      <c r="AX192" s="1482"/>
      <c r="AY192" s="1482"/>
      <c r="AZ192" s="1482"/>
      <c r="BA192" s="1482"/>
      <c r="BB192" s="1482"/>
      <c r="BC192" s="1482"/>
      <c r="BD192" s="1482"/>
      <c r="BE192" s="1483"/>
    </row>
    <row r="195" spans="4:18" ht="15.75" customHeight="1">
      <c r="D195" s="1448"/>
    </row>
    <row r="196" spans="4:18" ht="15.75" customHeight="1">
      <c r="D196" s="1491"/>
    </row>
    <row r="197" spans="4:18" ht="15.75" customHeight="1">
      <c r="D197" s="1448"/>
    </row>
    <row r="198" spans="4:18" ht="15.75" customHeight="1">
      <c r="D198" s="1448"/>
    </row>
    <row r="199" spans="4:18" ht="15.75" customHeight="1">
      <c r="R199" s="1447"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AB367" sqref="AB367"/>
    </sheetView>
  </sheetViews>
  <sheetFormatPr defaultColWidth="0" defaultRowHeight="12.75" zeroHeight="1"/>
  <cols>
    <col min="1" max="3" width="2.42578125" style="51" customWidth="1"/>
    <col min="4" max="4" width="3.28515625" style="51" customWidth="1"/>
    <col min="5" max="5" width="3.42578125" style="51" customWidth="1"/>
    <col min="6" max="6" width="2.7109375" style="51" customWidth="1"/>
    <col min="7" max="16" width="2.42578125" style="51" customWidth="1"/>
    <col min="17" max="17" width="3.28515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848" hidden="1" customWidth="1"/>
    <col min="41" max="41" width="5.5703125" style="126" hidden="1" customWidth="1"/>
    <col min="42" max="45" width="5.5703125" style="51" hidden="1" customWidth="1"/>
    <col min="46" max="46" width="10.71093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7109375" style="51" hidden="1"/>
  </cols>
  <sheetData>
    <row r="1" spans="1:42" ht="15.75" customHeight="1">
      <c r="A1" s="2931" t="s">
        <v>1573</v>
      </c>
      <c r="B1" s="2931"/>
      <c r="C1" s="2931"/>
      <c r="D1" s="2931"/>
      <c r="E1" s="2931"/>
      <c r="F1" s="2931"/>
      <c r="G1" s="2931"/>
      <c r="H1" s="2931"/>
      <c r="I1" s="2931"/>
      <c r="J1" s="2931"/>
      <c r="K1" s="2931"/>
      <c r="L1" s="2931"/>
      <c r="M1" s="2931"/>
      <c r="N1" s="2931"/>
      <c r="O1" s="2931"/>
      <c r="P1" s="2931"/>
      <c r="Q1" s="2931"/>
      <c r="R1" s="2931"/>
      <c r="S1" s="2931"/>
      <c r="T1" s="2931"/>
      <c r="U1" s="2931"/>
      <c r="V1" s="2931"/>
      <c r="W1" s="2931"/>
      <c r="X1" s="2931"/>
      <c r="Y1" s="2931"/>
      <c r="Z1" s="2931"/>
      <c r="AA1" s="2931"/>
      <c r="AB1" s="2931"/>
      <c r="AC1" s="2931"/>
      <c r="AD1" s="2931"/>
      <c r="AE1" s="2931"/>
      <c r="AF1" s="2931"/>
      <c r="AG1" s="2931"/>
      <c r="AH1" s="2931"/>
      <c r="AI1" s="2931"/>
      <c r="AJ1" s="2931"/>
      <c r="AK1" s="2931"/>
      <c r="AL1" s="2931"/>
      <c r="AM1" s="2931"/>
    </row>
    <row r="2" spans="1:42" s="850" customFormat="1" ht="12.75" customHeight="1" thickBot="1">
      <c r="A2" s="2932"/>
      <c r="B2" s="2932"/>
      <c r="C2" s="2932"/>
      <c r="D2" s="2932"/>
      <c r="E2" s="2932"/>
      <c r="F2" s="2932"/>
      <c r="G2" s="2932"/>
      <c r="H2" s="2932"/>
      <c r="I2" s="2932"/>
      <c r="J2" s="2932"/>
      <c r="K2" s="2932"/>
      <c r="L2" s="2932"/>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849"/>
    </row>
    <row r="3" spans="1:42" s="853" customFormat="1" ht="12.75" customHeight="1" thickTop="1">
      <c r="A3" s="851"/>
      <c r="B3" s="851"/>
      <c r="C3" s="851"/>
      <c r="D3" s="851"/>
      <c r="E3" s="851"/>
      <c r="F3" s="851"/>
      <c r="G3" s="851"/>
      <c r="H3" s="851"/>
      <c r="I3" s="851"/>
      <c r="J3" s="851"/>
      <c r="K3" s="851"/>
      <c r="L3" s="851"/>
      <c r="M3" s="851"/>
      <c r="N3" s="851"/>
      <c r="O3" s="851"/>
      <c r="P3" s="851"/>
      <c r="Q3" s="851"/>
      <c r="R3" s="851"/>
      <c r="S3" s="851"/>
      <c r="T3" s="851"/>
      <c r="U3" s="851"/>
      <c r="V3" s="851"/>
      <c r="W3" s="851"/>
      <c r="X3" s="851"/>
      <c r="Y3" s="851"/>
      <c r="Z3" s="851"/>
      <c r="AA3" s="851"/>
      <c r="AB3" s="851"/>
      <c r="AC3" s="851"/>
      <c r="AD3" s="851"/>
      <c r="AE3" s="851"/>
      <c r="AF3" s="851"/>
      <c r="AG3" s="851"/>
      <c r="AH3" s="851"/>
      <c r="AI3" s="851"/>
      <c r="AJ3" s="851"/>
      <c r="AK3" s="851"/>
      <c r="AL3" s="851"/>
      <c r="AM3" s="851"/>
      <c r="AN3" s="852"/>
    </row>
    <row r="4" spans="1:42" s="853" customFormat="1" ht="12.75" customHeight="1">
      <c r="A4" s="854" t="s">
        <v>1574</v>
      </c>
      <c r="B4" s="855" t="s">
        <v>1575</v>
      </c>
      <c r="C4" s="856"/>
      <c r="D4" s="856"/>
      <c r="E4" s="856"/>
      <c r="F4" s="856"/>
      <c r="G4" s="856"/>
      <c r="H4" s="856"/>
      <c r="I4" s="856"/>
      <c r="J4" s="856"/>
      <c r="K4" s="856"/>
      <c r="L4" s="856"/>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2"/>
    </row>
    <row r="5" spans="1:42" s="853" customFormat="1" ht="12.75" customHeight="1" thickBot="1">
      <c r="A5" s="854"/>
      <c r="B5" s="855"/>
      <c r="C5" s="856"/>
      <c r="D5" s="856"/>
      <c r="E5" s="856"/>
      <c r="F5" s="856"/>
      <c r="G5" s="856"/>
      <c r="H5" s="856"/>
      <c r="I5" s="856"/>
      <c r="J5" s="856"/>
      <c r="K5" s="856"/>
      <c r="L5" s="856"/>
      <c r="M5" s="856"/>
      <c r="N5" s="856"/>
      <c r="O5" s="856"/>
      <c r="P5" s="856"/>
      <c r="Q5" s="856"/>
      <c r="R5" s="856"/>
      <c r="S5" s="856"/>
      <c r="T5" s="856"/>
      <c r="U5" s="856"/>
      <c r="V5" s="856"/>
      <c r="W5" s="856"/>
      <c r="X5" s="856"/>
      <c r="Y5" s="856"/>
      <c r="Z5" s="856"/>
      <c r="AA5" s="856"/>
      <c r="AB5" s="856"/>
      <c r="AC5" s="856"/>
      <c r="AD5" s="856"/>
      <c r="AE5" s="856"/>
      <c r="AF5" s="856"/>
      <c r="AG5" s="856"/>
      <c r="AH5" s="856"/>
      <c r="AI5" s="856"/>
      <c r="AJ5" s="856"/>
      <c r="AK5" s="856"/>
      <c r="AL5" s="856"/>
      <c r="AM5" s="856"/>
      <c r="AN5" s="852"/>
    </row>
    <row r="6" spans="1:42" s="853" customFormat="1" ht="12.75" customHeight="1" thickTop="1">
      <c r="A6" s="857"/>
      <c r="B6" s="857"/>
      <c r="C6" s="857"/>
      <c r="D6" s="857"/>
      <c r="E6" s="857"/>
      <c r="F6" s="857"/>
      <c r="G6" s="857"/>
      <c r="H6" s="857"/>
      <c r="I6" s="857"/>
      <c r="J6" s="857"/>
      <c r="K6" s="857"/>
      <c r="L6" s="857"/>
      <c r="M6" s="857"/>
      <c r="N6" s="857"/>
      <c r="O6" s="857"/>
      <c r="P6" s="857"/>
      <c r="Q6" s="857"/>
      <c r="R6" s="857"/>
      <c r="S6" s="857"/>
      <c r="T6" s="857"/>
      <c r="U6" s="857"/>
      <c r="V6" s="857"/>
      <c r="W6" s="857"/>
      <c r="X6" s="857"/>
      <c r="Y6" s="857"/>
      <c r="Z6" s="857"/>
      <c r="AA6" s="857"/>
      <c r="AB6" s="857"/>
      <c r="AC6" s="857"/>
      <c r="AD6" s="857"/>
      <c r="AE6" s="857"/>
      <c r="AF6" s="857"/>
      <c r="AG6" s="857"/>
      <c r="AH6" s="857"/>
      <c r="AI6" s="857"/>
      <c r="AJ6" s="857"/>
      <c r="AK6" s="857"/>
      <c r="AL6" s="857"/>
      <c r="AM6" s="858"/>
      <c r="AN6" s="852"/>
    </row>
    <row r="7" spans="1:42" s="853" customFormat="1" ht="12.75" customHeight="1">
      <c r="A7" s="854" t="s">
        <v>1576</v>
      </c>
      <c r="B7" s="855" t="s">
        <v>1577</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2891" t="s">
        <v>1578</v>
      </c>
      <c r="AF7" s="2891"/>
      <c r="AG7" s="2891"/>
      <c r="AH7" s="2891"/>
      <c r="AI7" s="2891"/>
      <c r="AJ7" s="2891"/>
      <c r="AK7" s="2891"/>
      <c r="AL7" s="856"/>
      <c r="AM7" s="856"/>
      <c r="AN7" s="852"/>
    </row>
    <row r="8" spans="1:42" s="853" customFormat="1" ht="12.75" customHeight="1">
      <c r="A8" s="854"/>
      <c r="B8" s="855" t="s">
        <v>2246</v>
      </c>
      <c r="C8" s="855"/>
      <c r="D8" s="855"/>
      <c r="E8" s="855"/>
      <c r="F8" s="855"/>
      <c r="G8" s="855"/>
      <c r="H8" s="855"/>
      <c r="I8" s="855"/>
      <c r="J8" s="855"/>
      <c r="K8" s="855"/>
      <c r="L8" s="855"/>
      <c r="M8" s="855"/>
      <c r="N8" s="855"/>
      <c r="O8" s="855"/>
      <c r="P8" s="855"/>
      <c r="Q8" s="855"/>
      <c r="R8" s="855"/>
      <c r="S8" s="855"/>
      <c r="T8" s="855"/>
      <c r="U8" s="855"/>
      <c r="V8" s="855"/>
      <c r="W8" s="855"/>
      <c r="X8" s="855"/>
      <c r="Y8" s="855"/>
      <c r="Z8" s="855"/>
      <c r="AA8" s="855"/>
      <c r="AB8" s="855"/>
      <c r="AC8" s="855"/>
      <c r="AD8" s="855"/>
      <c r="AE8" s="859"/>
      <c r="AF8" s="859"/>
      <c r="AG8" s="859"/>
      <c r="AH8" s="859"/>
      <c r="AI8" s="859"/>
      <c r="AJ8" s="859"/>
      <c r="AK8" s="859"/>
      <c r="AL8" s="856"/>
      <c r="AM8" s="856"/>
      <c r="AN8" s="852"/>
    </row>
    <row r="9" spans="1:42" s="853" customFormat="1" ht="12.75" customHeight="1">
      <c r="A9" s="854"/>
      <c r="B9" s="855"/>
      <c r="C9" s="855"/>
      <c r="D9" s="855"/>
      <c r="E9" s="855"/>
      <c r="F9" s="855"/>
      <c r="G9" s="855"/>
      <c r="H9" s="855"/>
      <c r="I9" s="855"/>
      <c r="J9" s="855"/>
      <c r="K9" s="855"/>
      <c r="L9" s="855"/>
      <c r="M9" s="855"/>
      <c r="N9" s="855"/>
      <c r="O9" s="855"/>
      <c r="P9" s="855"/>
      <c r="Q9" s="855"/>
      <c r="R9" s="855"/>
      <c r="S9" s="855"/>
      <c r="T9" s="855"/>
      <c r="U9" s="855"/>
      <c r="V9" s="855"/>
      <c r="W9" s="855"/>
      <c r="X9" s="855"/>
      <c r="Y9" s="855"/>
      <c r="Z9" s="855"/>
      <c r="AA9" s="855"/>
      <c r="AB9" s="855"/>
      <c r="AC9" s="855"/>
      <c r="AD9" s="855"/>
      <c r="AE9" s="859"/>
      <c r="AF9" s="859"/>
      <c r="AG9" s="859"/>
      <c r="AH9" s="859"/>
      <c r="AI9" s="859"/>
      <c r="AJ9" s="859"/>
      <c r="AK9" s="859"/>
      <c r="AL9" s="856"/>
      <c r="AM9" s="856"/>
      <c r="AN9" s="852"/>
    </row>
    <row r="10" spans="1:42" s="853" customFormat="1" ht="12.75" customHeight="1">
      <c r="A10" s="856"/>
      <c r="B10" s="860" t="s">
        <v>1579</v>
      </c>
      <c r="C10" s="856"/>
      <c r="D10" s="856"/>
      <c r="E10" s="856"/>
      <c r="F10" s="856"/>
      <c r="G10" s="856"/>
      <c r="H10" s="856"/>
      <c r="I10" s="856"/>
      <c r="J10" s="856"/>
      <c r="K10" s="856"/>
      <c r="L10" s="856"/>
      <c r="M10" s="856"/>
      <c r="N10" s="856"/>
      <c r="O10" s="856"/>
      <c r="P10" s="856"/>
      <c r="Q10" s="856"/>
      <c r="R10" s="856"/>
      <c r="S10" s="856"/>
      <c r="T10" s="856"/>
      <c r="U10" s="856"/>
      <c r="V10" s="856"/>
      <c r="W10" s="856"/>
      <c r="X10" s="856"/>
      <c r="Y10" s="856"/>
      <c r="Z10" s="856"/>
      <c r="AA10" s="856"/>
      <c r="AB10" s="856"/>
      <c r="AC10" s="856"/>
      <c r="AD10" s="856"/>
      <c r="AE10" s="856"/>
      <c r="AF10" s="856"/>
      <c r="AG10" s="856"/>
      <c r="AH10" s="856"/>
      <c r="AI10" s="856"/>
      <c r="AJ10" s="856"/>
      <c r="AK10" s="856"/>
      <c r="AL10" s="856"/>
      <c r="AM10" s="856"/>
      <c r="AN10" s="852"/>
      <c r="AO10" s="847"/>
      <c r="AP10" s="861"/>
    </row>
    <row r="11" spans="1:42" s="853" customFormat="1" ht="12.75" customHeight="1">
      <c r="A11" s="856"/>
      <c r="B11" s="862"/>
      <c r="C11" s="856"/>
      <c r="D11" s="856"/>
      <c r="E11" s="856"/>
      <c r="F11" s="856"/>
      <c r="G11" s="856"/>
      <c r="H11" s="856"/>
      <c r="I11" s="856"/>
      <c r="J11" s="856"/>
      <c r="K11" s="856"/>
      <c r="L11" s="856"/>
      <c r="M11" s="856"/>
      <c r="N11" s="856"/>
      <c r="O11" s="856"/>
      <c r="P11" s="856"/>
      <c r="Q11" s="856"/>
      <c r="R11" s="856"/>
      <c r="S11" s="856"/>
      <c r="T11" s="856"/>
      <c r="U11" s="856"/>
      <c r="V11" s="856"/>
      <c r="W11" s="856"/>
      <c r="X11" s="856"/>
      <c r="Y11" s="856"/>
      <c r="Z11" s="856"/>
      <c r="AA11" s="856"/>
      <c r="AB11" s="856"/>
      <c r="AC11" s="856"/>
      <c r="AD11" s="856"/>
      <c r="AE11" s="856"/>
      <c r="AF11" s="856"/>
      <c r="AG11" s="856"/>
      <c r="AH11" s="856"/>
      <c r="AI11" s="856"/>
      <c r="AJ11" s="856"/>
      <c r="AK11" s="856"/>
      <c r="AL11" s="856"/>
      <c r="AM11" s="856"/>
      <c r="AN11" s="852"/>
      <c r="AP11" s="51"/>
    </row>
    <row r="12" spans="1:42" s="853" customFormat="1" ht="12.75" customHeight="1">
      <c r="A12" s="856"/>
      <c r="B12" s="2890" t="s">
        <v>628</v>
      </c>
      <c r="C12" s="2890"/>
      <c r="D12" s="863"/>
      <c r="E12" s="864" t="s">
        <v>1580</v>
      </c>
      <c r="F12" s="865"/>
      <c r="G12" s="865"/>
      <c r="H12" s="865"/>
      <c r="I12" s="865"/>
      <c r="J12" s="865"/>
      <c r="K12" s="865"/>
      <c r="L12" s="865"/>
      <c r="M12" s="865"/>
      <c r="N12" s="865"/>
      <c r="O12" s="865"/>
      <c r="P12" s="865"/>
      <c r="Q12" s="865"/>
      <c r="R12" s="865"/>
      <c r="S12" s="865"/>
      <c r="T12" s="865"/>
      <c r="U12" s="865"/>
      <c r="V12" s="865"/>
      <c r="W12" s="865"/>
      <c r="X12" s="865"/>
      <c r="Y12" s="865"/>
      <c r="Z12" s="865"/>
      <c r="AA12" s="865"/>
      <c r="AB12" s="865"/>
      <c r="AC12" s="865"/>
      <c r="AD12" s="865"/>
      <c r="AE12" s="865"/>
      <c r="AF12" s="865"/>
      <c r="AG12" s="2933"/>
      <c r="AH12" s="2933"/>
      <c r="AI12" s="2933"/>
      <c r="AJ12" s="2934"/>
      <c r="AK12" s="856"/>
      <c r="AL12" s="856"/>
      <c r="AM12" s="856"/>
      <c r="AN12" s="852"/>
      <c r="AO12" s="866">
        <f>IF($B12="yes",20,0)</f>
        <v>0</v>
      </c>
      <c r="AP12" s="51"/>
    </row>
    <row r="13" spans="1:42" s="853" customFormat="1" ht="12.75" customHeight="1">
      <c r="A13" s="856"/>
      <c r="B13" s="856"/>
      <c r="C13" s="856"/>
      <c r="D13" s="51"/>
      <c r="E13" s="856"/>
      <c r="F13" s="856"/>
      <c r="G13" s="856"/>
      <c r="H13" s="856"/>
      <c r="I13" s="856"/>
      <c r="J13" s="856"/>
      <c r="K13" s="856"/>
      <c r="L13" s="856"/>
      <c r="M13" s="856"/>
      <c r="N13" s="856"/>
      <c r="O13" s="856"/>
      <c r="P13" s="856"/>
      <c r="Q13" s="856"/>
      <c r="R13" s="856"/>
      <c r="S13" s="856"/>
      <c r="T13" s="856"/>
      <c r="U13" s="856"/>
      <c r="V13" s="856"/>
      <c r="W13" s="856"/>
      <c r="X13" s="856"/>
      <c r="Y13" s="856"/>
      <c r="Z13" s="856"/>
      <c r="AA13" s="856"/>
      <c r="AB13" s="856"/>
      <c r="AC13" s="856"/>
      <c r="AD13" s="856"/>
      <c r="AE13" s="856"/>
      <c r="AF13" s="856"/>
      <c r="AG13" s="856"/>
      <c r="AH13" s="856"/>
      <c r="AI13" s="856"/>
      <c r="AJ13" s="856"/>
      <c r="AK13" s="856"/>
      <c r="AL13" s="856"/>
      <c r="AM13" s="856"/>
      <c r="AN13" s="852"/>
      <c r="AO13" s="866">
        <f>IF(AND($B15="yes",E19&gt;0),20,0)</f>
        <v>0</v>
      </c>
      <c r="AP13" s="51"/>
    </row>
    <row r="14" spans="1:42" s="853" customFormat="1" ht="12.75" customHeight="1">
      <c r="A14" s="856"/>
      <c r="B14" s="856"/>
      <c r="C14" s="856"/>
      <c r="D14" s="866"/>
      <c r="E14" s="856"/>
      <c r="F14" s="856"/>
      <c r="G14" s="856"/>
      <c r="H14" s="856"/>
      <c r="I14" s="856"/>
      <c r="J14" s="856"/>
      <c r="K14" s="856"/>
      <c r="L14" s="856"/>
      <c r="M14" s="856"/>
      <c r="N14" s="856"/>
      <c r="O14" s="856"/>
      <c r="P14" s="856"/>
      <c r="Q14" s="856"/>
      <c r="R14" s="856"/>
      <c r="S14" s="856"/>
      <c r="T14" s="856"/>
      <c r="U14" s="856"/>
      <c r="V14" s="856"/>
      <c r="W14" s="856"/>
      <c r="X14" s="856"/>
      <c r="Y14" s="856"/>
      <c r="Z14" s="856"/>
      <c r="AA14" s="856"/>
      <c r="AB14" s="856"/>
      <c r="AC14" s="856"/>
      <c r="AD14" s="856"/>
      <c r="AE14" s="856"/>
      <c r="AF14" s="856"/>
      <c r="AG14" s="856"/>
      <c r="AH14" s="856"/>
      <c r="AI14" s="856"/>
      <c r="AJ14" s="856"/>
      <c r="AK14" s="856"/>
      <c r="AL14" s="856"/>
      <c r="AM14" s="856"/>
      <c r="AN14" s="852"/>
      <c r="AO14" s="866">
        <f>IF($B21="yes",20,0)</f>
        <v>0</v>
      </c>
      <c r="AP14" s="21"/>
    </row>
    <row r="15" spans="1:42" s="853" customFormat="1" ht="12.75" customHeight="1">
      <c r="A15" s="856"/>
      <c r="B15" s="2890" t="s">
        <v>628</v>
      </c>
      <c r="C15" s="2890"/>
      <c r="D15" s="863"/>
      <c r="E15" s="2914" t="s">
        <v>1581</v>
      </c>
      <c r="F15" s="2915"/>
      <c r="G15" s="2915"/>
      <c r="H15" s="2915"/>
      <c r="I15" s="2915"/>
      <c r="J15" s="2915"/>
      <c r="K15" s="2915"/>
      <c r="L15" s="2915"/>
      <c r="M15" s="2915"/>
      <c r="N15" s="2915"/>
      <c r="O15" s="2915"/>
      <c r="P15" s="2915"/>
      <c r="Q15" s="2915"/>
      <c r="R15" s="2915"/>
      <c r="S15" s="2915"/>
      <c r="T15" s="2915"/>
      <c r="U15" s="2915"/>
      <c r="V15" s="2915"/>
      <c r="W15" s="2915"/>
      <c r="X15" s="2915"/>
      <c r="Y15" s="2915"/>
      <c r="Z15" s="2915"/>
      <c r="AA15" s="2915"/>
      <c r="AB15" s="2915"/>
      <c r="AC15" s="2915"/>
      <c r="AD15" s="2915"/>
      <c r="AE15" s="2915"/>
      <c r="AF15" s="2915"/>
      <c r="AG15" s="2915"/>
      <c r="AH15" s="2915"/>
      <c r="AI15" s="2915"/>
      <c r="AJ15" s="2916"/>
      <c r="AK15" s="856"/>
      <c r="AL15" s="856"/>
      <c r="AM15" s="856"/>
      <c r="AN15" s="852"/>
      <c r="AO15" s="866">
        <f>IF($B24="yes",20,0)</f>
        <v>0</v>
      </c>
      <c r="AP15" s="51"/>
    </row>
    <row r="16" spans="1:42" s="853" customFormat="1" ht="12.75" customHeight="1">
      <c r="A16" s="856"/>
      <c r="B16" s="856"/>
      <c r="C16" s="856"/>
      <c r="D16" s="867"/>
      <c r="E16" s="2917"/>
      <c r="F16" s="2918"/>
      <c r="G16" s="2918"/>
      <c r="H16" s="2918"/>
      <c r="I16" s="2918"/>
      <c r="J16" s="2918"/>
      <c r="K16" s="2918"/>
      <c r="L16" s="2918"/>
      <c r="M16" s="2918"/>
      <c r="N16" s="2918"/>
      <c r="O16" s="2918"/>
      <c r="P16" s="2918"/>
      <c r="Q16" s="2918"/>
      <c r="R16" s="2918"/>
      <c r="S16" s="2918"/>
      <c r="T16" s="2918"/>
      <c r="U16" s="2918"/>
      <c r="V16" s="2918"/>
      <c r="W16" s="2918"/>
      <c r="X16" s="2918"/>
      <c r="Y16" s="2918"/>
      <c r="Z16" s="2918"/>
      <c r="AA16" s="2918"/>
      <c r="AB16" s="2918"/>
      <c r="AC16" s="2918"/>
      <c r="AD16" s="2918"/>
      <c r="AE16" s="2918"/>
      <c r="AF16" s="2918"/>
      <c r="AG16" s="2918"/>
      <c r="AH16" s="2918"/>
      <c r="AI16" s="2918"/>
      <c r="AJ16" s="2919"/>
      <c r="AK16" s="856"/>
      <c r="AL16" s="856"/>
      <c r="AM16" s="856"/>
      <c r="AN16" s="852"/>
      <c r="AO16" s="853">
        <f>IF(SUM(AO12:AO15)&gt;20,20,(SUM(AO12:AO15)))</f>
        <v>0</v>
      </c>
      <c r="AP16" s="853" t="s">
        <v>1582</v>
      </c>
    </row>
    <row r="17" spans="1:42" s="853" customFormat="1" ht="12.75" customHeight="1">
      <c r="A17" s="856"/>
      <c r="B17" s="856"/>
      <c r="C17" s="856"/>
      <c r="D17" s="867"/>
      <c r="E17" s="2917"/>
      <c r="F17" s="2918"/>
      <c r="G17" s="2918"/>
      <c r="H17" s="2918"/>
      <c r="I17" s="2918"/>
      <c r="J17" s="2918"/>
      <c r="K17" s="2918"/>
      <c r="L17" s="2918"/>
      <c r="M17" s="2918"/>
      <c r="N17" s="2918"/>
      <c r="O17" s="2918"/>
      <c r="P17" s="2918"/>
      <c r="Q17" s="2918"/>
      <c r="R17" s="2918"/>
      <c r="S17" s="2918"/>
      <c r="T17" s="2918"/>
      <c r="U17" s="2918"/>
      <c r="V17" s="2918"/>
      <c r="W17" s="2918"/>
      <c r="X17" s="2918"/>
      <c r="Y17" s="2918"/>
      <c r="Z17" s="2918"/>
      <c r="AA17" s="2918"/>
      <c r="AB17" s="2918"/>
      <c r="AC17" s="2918"/>
      <c r="AD17" s="2918"/>
      <c r="AE17" s="2918"/>
      <c r="AF17" s="2918"/>
      <c r="AG17" s="2918"/>
      <c r="AH17" s="2918"/>
      <c r="AI17" s="2918"/>
      <c r="AJ17" s="2919"/>
      <c r="AK17" s="856"/>
      <c r="AL17" s="856"/>
      <c r="AM17" s="856"/>
      <c r="AN17" s="852"/>
    </row>
    <row r="18" spans="1:42" s="853" customFormat="1" ht="12.75" customHeight="1">
      <c r="A18" s="856"/>
      <c r="B18" s="856"/>
      <c r="C18" s="856"/>
      <c r="D18" s="867"/>
      <c r="E18" s="868" t="s">
        <v>1583</v>
      </c>
      <c r="F18" s="869"/>
      <c r="G18" s="869"/>
      <c r="H18" s="869"/>
      <c r="I18" s="869"/>
      <c r="J18" s="869"/>
      <c r="K18" s="869"/>
      <c r="L18" s="869"/>
      <c r="M18" s="869"/>
      <c r="N18" s="869"/>
      <c r="O18" s="869"/>
      <c r="P18" s="869"/>
      <c r="Q18" s="869"/>
      <c r="R18" s="869"/>
      <c r="S18" s="869"/>
      <c r="T18" s="869"/>
      <c r="U18" s="869"/>
      <c r="V18" s="869"/>
      <c r="W18" s="869"/>
      <c r="X18" s="869"/>
      <c r="Y18" s="869"/>
      <c r="Z18" s="869"/>
      <c r="AA18" s="869"/>
      <c r="AB18" s="869"/>
      <c r="AC18" s="869"/>
      <c r="AD18" s="869"/>
      <c r="AE18" s="869"/>
      <c r="AF18" s="869"/>
      <c r="AG18" s="869"/>
      <c r="AH18" s="869"/>
      <c r="AI18" s="869"/>
      <c r="AJ18" s="870"/>
      <c r="AK18" s="856"/>
      <c r="AL18" s="856"/>
      <c r="AM18" s="856"/>
      <c r="AN18" s="852"/>
    </row>
    <row r="19" spans="1:42" s="853" customFormat="1" ht="12.75" customHeight="1">
      <c r="A19" s="856"/>
      <c r="B19" s="856"/>
      <c r="C19" s="856"/>
      <c r="D19" s="867"/>
      <c r="E19" s="2896"/>
      <c r="F19" s="2897"/>
      <c r="G19" s="2897"/>
      <c r="H19" s="2897"/>
      <c r="I19" s="2897"/>
      <c r="J19" s="2897"/>
      <c r="K19" s="2897"/>
      <c r="L19" s="2897"/>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8"/>
      <c r="AK19" s="856"/>
      <c r="AL19" s="856"/>
      <c r="AM19" s="856"/>
      <c r="AN19" s="852"/>
    </row>
    <row r="20" spans="1:42" s="853" customFormat="1" ht="12.75" customHeight="1">
      <c r="A20" s="856"/>
      <c r="B20" s="856"/>
      <c r="C20" s="856"/>
      <c r="E20" s="856"/>
      <c r="F20" s="856"/>
      <c r="G20" s="856"/>
      <c r="H20" s="856"/>
      <c r="I20" s="856"/>
      <c r="J20" s="856"/>
      <c r="K20" s="856"/>
      <c r="L20" s="856"/>
      <c r="M20" s="856"/>
      <c r="N20" s="856"/>
      <c r="O20" s="856"/>
      <c r="P20" s="856"/>
      <c r="Q20" s="856"/>
      <c r="R20" s="856"/>
      <c r="S20" s="856"/>
      <c r="T20" s="856"/>
      <c r="U20" s="856"/>
      <c r="V20" s="856"/>
      <c r="W20" s="856"/>
      <c r="X20" s="856"/>
      <c r="Y20" s="856"/>
      <c r="Z20" s="856"/>
      <c r="AA20" s="856"/>
      <c r="AB20" s="856"/>
      <c r="AC20" s="856"/>
      <c r="AD20" s="856"/>
      <c r="AE20" s="856"/>
      <c r="AF20" s="856"/>
      <c r="AG20" s="856"/>
      <c r="AH20" s="856"/>
      <c r="AI20" s="856"/>
      <c r="AJ20" s="856"/>
      <c r="AK20" s="856"/>
      <c r="AL20" s="856"/>
      <c r="AM20" s="856"/>
      <c r="AN20" s="852"/>
      <c r="AO20" s="866">
        <f>IF($B29="yes",14,0)</f>
        <v>0</v>
      </c>
      <c r="AP20" s="51"/>
    </row>
    <row r="21" spans="1:42" s="853" customFormat="1" ht="12.75" customHeight="1">
      <c r="A21" s="856"/>
      <c r="B21" s="2890" t="s">
        <v>628</v>
      </c>
      <c r="C21" s="2890"/>
      <c r="D21" s="863"/>
      <c r="E21" s="2899" t="s">
        <v>1584</v>
      </c>
      <c r="F21" s="2900"/>
      <c r="G21" s="2900"/>
      <c r="H21" s="2900"/>
      <c r="I21" s="2900"/>
      <c r="J21" s="2900"/>
      <c r="K21" s="2900"/>
      <c r="L21" s="2900"/>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1"/>
      <c r="AK21" s="856"/>
      <c r="AL21" s="856"/>
      <c r="AM21" s="856"/>
      <c r="AN21" s="852"/>
      <c r="AO21" s="853">
        <f>SUM(AO20)</f>
        <v>0</v>
      </c>
      <c r="AP21" s="853" t="s">
        <v>1582</v>
      </c>
    </row>
    <row r="22" spans="1:42" s="853" customFormat="1" ht="12.75" customHeight="1">
      <c r="A22" s="856"/>
      <c r="B22" s="856"/>
      <c r="C22" s="856"/>
      <c r="D22" s="866"/>
      <c r="E22" s="2902"/>
      <c r="F22" s="2903"/>
      <c r="G22" s="2903"/>
      <c r="H22" s="2903"/>
      <c r="I22" s="2903"/>
      <c r="J22" s="2903"/>
      <c r="K22" s="2903"/>
      <c r="L22" s="2903"/>
      <c r="M22" s="2903"/>
      <c r="N22" s="2903"/>
      <c r="O22" s="2903"/>
      <c r="P22" s="2903"/>
      <c r="Q22" s="2903"/>
      <c r="R22" s="2903"/>
      <c r="S22" s="2903"/>
      <c r="T22" s="2903"/>
      <c r="U22" s="2903"/>
      <c r="V22" s="2903"/>
      <c r="W22" s="2903"/>
      <c r="X22" s="2903"/>
      <c r="Y22" s="2903"/>
      <c r="Z22" s="2903"/>
      <c r="AA22" s="2903"/>
      <c r="AB22" s="2903"/>
      <c r="AC22" s="2903"/>
      <c r="AD22" s="2903"/>
      <c r="AE22" s="2903"/>
      <c r="AF22" s="2903"/>
      <c r="AG22" s="2903"/>
      <c r="AH22" s="2903"/>
      <c r="AI22" s="2903"/>
      <c r="AJ22" s="2904"/>
      <c r="AK22" s="856"/>
      <c r="AL22" s="856"/>
      <c r="AM22" s="856"/>
      <c r="AN22" s="852"/>
    </row>
    <row r="23" spans="1:42" s="853" customFormat="1" ht="12.75" customHeight="1">
      <c r="A23" s="856"/>
      <c r="B23" s="856"/>
      <c r="C23" s="856"/>
      <c r="D23" s="867"/>
      <c r="E23" s="856"/>
      <c r="F23" s="856"/>
      <c r="G23" s="856"/>
      <c r="H23" s="856"/>
      <c r="I23" s="856"/>
      <c r="J23" s="856"/>
      <c r="K23" s="856"/>
      <c r="L23" s="856"/>
      <c r="M23" s="856"/>
      <c r="N23" s="856"/>
      <c r="O23" s="856"/>
      <c r="P23" s="856"/>
      <c r="Q23" s="856"/>
      <c r="R23" s="856"/>
      <c r="S23" s="856"/>
      <c r="T23" s="856"/>
      <c r="U23" s="856"/>
      <c r="V23" s="856"/>
      <c r="W23" s="856"/>
      <c r="X23" s="856"/>
      <c r="Y23" s="856"/>
      <c r="Z23" s="856"/>
      <c r="AA23" s="856"/>
      <c r="AB23" s="856"/>
      <c r="AC23" s="856"/>
      <c r="AD23" s="856"/>
      <c r="AE23" s="856"/>
      <c r="AF23" s="856"/>
      <c r="AG23" s="856"/>
      <c r="AH23" s="856"/>
      <c r="AI23" s="856"/>
      <c r="AJ23" s="856"/>
      <c r="AK23" s="856"/>
      <c r="AL23" s="856"/>
      <c r="AM23" s="856"/>
      <c r="AN23" s="852"/>
      <c r="AO23" s="866">
        <f>IF($B37="yes",6,0)</f>
        <v>0</v>
      </c>
    </row>
    <row r="24" spans="1:42" s="853" customFormat="1" ht="12.75" customHeight="1">
      <c r="A24" s="856"/>
      <c r="B24" s="2890" t="s">
        <v>628</v>
      </c>
      <c r="C24" s="2890"/>
      <c r="D24" s="863"/>
      <c r="E24" s="2905" t="s">
        <v>1585</v>
      </c>
      <c r="F24" s="2906"/>
      <c r="G24" s="2906"/>
      <c r="H24" s="2906"/>
      <c r="I24" s="2906"/>
      <c r="J24" s="2906"/>
      <c r="K24" s="2906"/>
      <c r="L24" s="2906"/>
      <c r="M24" s="2906"/>
      <c r="N24" s="2906"/>
      <c r="O24" s="2906"/>
      <c r="P24" s="2906"/>
      <c r="Q24" s="2906"/>
      <c r="R24" s="2906"/>
      <c r="S24" s="2906"/>
      <c r="T24" s="2906"/>
      <c r="U24" s="2906"/>
      <c r="V24" s="2906"/>
      <c r="W24" s="2906"/>
      <c r="X24" s="2906"/>
      <c r="Y24" s="2906"/>
      <c r="Z24" s="2906"/>
      <c r="AA24" s="2906"/>
      <c r="AB24" s="2906"/>
      <c r="AC24" s="2906"/>
      <c r="AD24" s="2906"/>
      <c r="AE24" s="2906"/>
      <c r="AF24" s="2906"/>
      <c r="AG24" s="2906"/>
      <c r="AH24" s="2906"/>
      <c r="AI24" s="2906"/>
      <c r="AJ24" s="2907"/>
      <c r="AK24" s="856"/>
      <c r="AL24" s="856"/>
      <c r="AM24" s="856"/>
      <c r="AN24" s="852"/>
      <c r="AO24" s="866">
        <f>IF($B39="yes",6,0)</f>
        <v>0</v>
      </c>
    </row>
    <row r="25" spans="1:42" s="853" customFormat="1" ht="12.75" customHeight="1">
      <c r="A25" s="856"/>
      <c r="B25" s="856"/>
      <c r="C25" s="856"/>
      <c r="D25" s="866"/>
      <c r="E25" s="2908"/>
      <c r="F25" s="2909"/>
      <c r="G25" s="2909"/>
      <c r="H25" s="2909"/>
      <c r="I25" s="2909"/>
      <c r="J25" s="2909"/>
      <c r="K25" s="2909"/>
      <c r="L25" s="2909"/>
      <c r="M25" s="2909"/>
      <c r="N25" s="2909"/>
      <c r="O25" s="2909"/>
      <c r="P25" s="2909"/>
      <c r="Q25" s="2909"/>
      <c r="R25" s="2909"/>
      <c r="S25" s="2909"/>
      <c r="T25" s="2909"/>
      <c r="U25" s="2909"/>
      <c r="V25" s="2909"/>
      <c r="W25" s="2909"/>
      <c r="X25" s="2909"/>
      <c r="Y25" s="2909"/>
      <c r="Z25" s="2909"/>
      <c r="AA25" s="2909"/>
      <c r="AB25" s="2909"/>
      <c r="AC25" s="2909"/>
      <c r="AD25" s="2909"/>
      <c r="AE25" s="2909"/>
      <c r="AF25" s="2909"/>
      <c r="AG25" s="2909"/>
      <c r="AH25" s="2909"/>
      <c r="AI25" s="2909"/>
      <c r="AJ25" s="2910"/>
      <c r="AK25" s="856"/>
      <c r="AL25" s="856"/>
      <c r="AM25" s="856"/>
      <c r="AN25" s="852"/>
      <c r="AO25" s="866">
        <f>IF($B41="yes",6,0)</f>
        <v>0</v>
      </c>
    </row>
    <row r="26" spans="1:42" s="853" customFormat="1" ht="12.75" customHeight="1">
      <c r="A26" s="856"/>
      <c r="B26" s="856"/>
      <c r="C26" s="856"/>
      <c r="D26" s="866"/>
      <c r="E26" s="856"/>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56"/>
      <c r="AF26" s="856"/>
      <c r="AG26" s="856"/>
      <c r="AH26" s="856"/>
      <c r="AI26" s="856"/>
      <c r="AJ26" s="856"/>
      <c r="AK26" s="856"/>
      <c r="AL26" s="856"/>
      <c r="AM26" s="856"/>
      <c r="AN26" s="852"/>
      <c r="AO26" s="866">
        <f>IF($B43="yes",6,0)</f>
        <v>0</v>
      </c>
    </row>
    <row r="27" spans="1:42" s="853" customFormat="1" ht="12.75" customHeight="1">
      <c r="A27" s="856"/>
      <c r="B27" s="860" t="s">
        <v>1586</v>
      </c>
      <c r="C27" s="856"/>
      <c r="E27" s="856"/>
      <c r="F27" s="856"/>
      <c r="G27" s="856"/>
      <c r="H27" s="856"/>
      <c r="I27" s="856"/>
      <c r="J27" s="856"/>
      <c r="K27" s="856"/>
      <c r="L27" s="856"/>
      <c r="M27" s="856"/>
      <c r="N27" s="856"/>
      <c r="O27" s="856"/>
      <c r="P27" s="856"/>
      <c r="Q27" s="856"/>
      <c r="R27" s="856"/>
      <c r="S27" s="856"/>
      <c r="T27" s="856"/>
      <c r="U27" s="856"/>
      <c r="V27" s="856"/>
      <c r="W27" s="856"/>
      <c r="X27" s="856"/>
      <c r="Y27" s="856"/>
      <c r="Z27" s="856"/>
      <c r="AA27" s="856"/>
      <c r="AB27" s="856"/>
      <c r="AC27" s="856"/>
      <c r="AD27" s="856"/>
      <c r="AE27" s="856"/>
      <c r="AF27" s="856"/>
      <c r="AG27" s="856"/>
      <c r="AH27" s="856"/>
      <c r="AI27" s="856"/>
      <c r="AJ27" s="856"/>
      <c r="AK27" s="856"/>
      <c r="AL27" s="856"/>
      <c r="AM27" s="856"/>
      <c r="AN27" s="852"/>
      <c r="AO27" s="866">
        <f>IF($B45="yes",6,0)</f>
        <v>0</v>
      </c>
    </row>
    <row r="28" spans="1:42" s="853" customFormat="1" ht="12.75" customHeight="1">
      <c r="A28" s="856"/>
      <c r="B28" s="856"/>
      <c r="C28" s="856"/>
      <c r="E28" s="856"/>
      <c r="F28" s="856"/>
      <c r="G28" s="856"/>
      <c r="H28" s="856"/>
      <c r="I28" s="856"/>
      <c r="J28" s="856"/>
      <c r="K28" s="856"/>
      <c r="L28" s="856"/>
      <c r="M28" s="856"/>
      <c r="N28" s="856"/>
      <c r="O28" s="856"/>
      <c r="P28" s="856"/>
      <c r="Q28" s="856"/>
      <c r="R28" s="856"/>
      <c r="S28" s="856"/>
      <c r="T28" s="856"/>
      <c r="U28" s="856"/>
      <c r="V28" s="856"/>
      <c r="W28" s="856"/>
      <c r="X28" s="856"/>
      <c r="Y28" s="856"/>
      <c r="Z28" s="856"/>
      <c r="AA28" s="856"/>
      <c r="AB28" s="856"/>
      <c r="AC28" s="856"/>
      <c r="AD28" s="856"/>
      <c r="AE28" s="856"/>
      <c r="AF28" s="856"/>
      <c r="AG28" s="856"/>
      <c r="AH28" s="856"/>
      <c r="AI28" s="856"/>
      <c r="AJ28" s="856"/>
      <c r="AK28" s="856"/>
      <c r="AL28" s="856"/>
      <c r="AM28" s="856"/>
      <c r="AN28" s="852"/>
      <c r="AO28" s="866">
        <f>IF($B47="yes",6,0)</f>
        <v>0</v>
      </c>
    </row>
    <row r="29" spans="1:42" s="853" customFormat="1" ht="12.75" customHeight="1">
      <c r="A29" s="856"/>
      <c r="B29" s="2890" t="s">
        <v>628</v>
      </c>
      <c r="C29" s="2890"/>
      <c r="D29" s="863"/>
      <c r="E29" s="2905" t="s">
        <v>1587</v>
      </c>
      <c r="F29" s="2906"/>
      <c r="G29" s="2906"/>
      <c r="H29" s="2906"/>
      <c r="I29" s="2906"/>
      <c r="J29" s="2906"/>
      <c r="K29" s="2906"/>
      <c r="L29" s="2906"/>
      <c r="M29" s="2906"/>
      <c r="N29" s="2906"/>
      <c r="O29" s="2906"/>
      <c r="P29" s="2906"/>
      <c r="Q29" s="2906"/>
      <c r="R29" s="2906"/>
      <c r="S29" s="2906"/>
      <c r="T29" s="2906"/>
      <c r="U29" s="2906"/>
      <c r="V29" s="2906"/>
      <c r="W29" s="2906"/>
      <c r="X29" s="2906"/>
      <c r="Y29" s="2906"/>
      <c r="Z29" s="2906"/>
      <c r="AA29" s="2906"/>
      <c r="AB29" s="2906"/>
      <c r="AC29" s="2906"/>
      <c r="AD29" s="2906"/>
      <c r="AE29" s="2906"/>
      <c r="AF29" s="2906"/>
      <c r="AG29" s="2906"/>
      <c r="AH29" s="2906"/>
      <c r="AI29" s="2906"/>
      <c r="AJ29" s="2907"/>
      <c r="AK29" s="856"/>
      <c r="AL29" s="856"/>
      <c r="AM29" s="856"/>
      <c r="AN29" s="852"/>
      <c r="AO29" s="866">
        <f>IF($B49="yes",6,0)</f>
        <v>0</v>
      </c>
    </row>
    <row r="30" spans="1:42" s="853" customFormat="1" ht="12.75" customHeight="1">
      <c r="A30" s="856"/>
      <c r="B30" s="856"/>
      <c r="C30" s="856"/>
      <c r="E30" s="2911"/>
      <c r="F30" s="2912"/>
      <c r="G30" s="2912"/>
      <c r="H30" s="2912"/>
      <c r="I30" s="2912"/>
      <c r="J30" s="2912"/>
      <c r="K30" s="2912"/>
      <c r="L30" s="2912"/>
      <c r="M30" s="2912"/>
      <c r="N30" s="2912"/>
      <c r="O30" s="2912"/>
      <c r="P30" s="2912"/>
      <c r="Q30" s="2912"/>
      <c r="R30" s="2912"/>
      <c r="S30" s="2912"/>
      <c r="T30" s="2912"/>
      <c r="U30" s="2912"/>
      <c r="V30" s="2912"/>
      <c r="W30" s="2912"/>
      <c r="X30" s="2912"/>
      <c r="Y30" s="2912"/>
      <c r="Z30" s="2912"/>
      <c r="AA30" s="2912"/>
      <c r="AB30" s="2912"/>
      <c r="AC30" s="2912"/>
      <c r="AD30" s="2912"/>
      <c r="AE30" s="2912"/>
      <c r="AF30" s="2912"/>
      <c r="AG30" s="2912"/>
      <c r="AH30" s="2912"/>
      <c r="AI30" s="2912"/>
      <c r="AJ30" s="2913"/>
      <c r="AK30" s="856"/>
      <c r="AL30" s="856"/>
      <c r="AM30" s="856"/>
      <c r="AN30" s="852"/>
      <c r="AO30" s="853">
        <f>IF(SUM(AO23:AO29)&gt;6,6,(SUM(AO23:AO29)))</f>
        <v>0</v>
      </c>
      <c r="AP30" s="853" t="s">
        <v>1582</v>
      </c>
    </row>
    <row r="31" spans="1:42" s="853" customFormat="1" ht="12.75" customHeight="1">
      <c r="A31" s="856"/>
      <c r="B31" s="856"/>
      <c r="C31" s="856"/>
      <c r="E31" s="2908"/>
      <c r="F31" s="2909"/>
      <c r="G31" s="2909"/>
      <c r="H31" s="2909"/>
      <c r="I31" s="2909"/>
      <c r="J31" s="2909"/>
      <c r="K31" s="2909"/>
      <c r="L31" s="2909"/>
      <c r="M31" s="2909"/>
      <c r="N31" s="2909"/>
      <c r="O31" s="2909"/>
      <c r="P31" s="2909"/>
      <c r="Q31" s="2909"/>
      <c r="R31" s="2909"/>
      <c r="S31" s="2909"/>
      <c r="T31" s="2909"/>
      <c r="U31" s="2909"/>
      <c r="V31" s="2909"/>
      <c r="W31" s="2909"/>
      <c r="X31" s="2909"/>
      <c r="Y31" s="2909"/>
      <c r="Z31" s="2909"/>
      <c r="AA31" s="2909"/>
      <c r="AB31" s="2909"/>
      <c r="AC31" s="2909"/>
      <c r="AD31" s="2909"/>
      <c r="AE31" s="2909"/>
      <c r="AF31" s="2909"/>
      <c r="AG31" s="2909"/>
      <c r="AH31" s="2909"/>
      <c r="AI31" s="2909"/>
      <c r="AJ31" s="2910"/>
      <c r="AK31" s="856"/>
      <c r="AL31" s="856"/>
      <c r="AM31" s="856"/>
      <c r="AN31" s="852"/>
    </row>
    <row r="32" spans="1:42" s="853" customFormat="1" ht="12.75" customHeight="1">
      <c r="A32" s="856"/>
      <c r="B32" s="856"/>
      <c r="C32" s="856"/>
      <c r="E32" s="856"/>
      <c r="F32" s="856"/>
      <c r="G32" s="856"/>
      <c r="H32" s="856"/>
      <c r="I32" s="856"/>
      <c r="J32" s="856"/>
      <c r="K32" s="856"/>
      <c r="L32" s="856"/>
      <c r="M32" s="856"/>
      <c r="N32" s="856"/>
      <c r="O32" s="856"/>
      <c r="P32" s="856"/>
      <c r="Q32" s="856"/>
      <c r="R32" s="856"/>
      <c r="S32" s="856"/>
      <c r="T32" s="856"/>
      <c r="U32" s="856"/>
      <c r="V32" s="856"/>
      <c r="W32" s="856"/>
      <c r="X32" s="856"/>
      <c r="Y32" s="856"/>
      <c r="Z32" s="856"/>
      <c r="AA32" s="856"/>
      <c r="AB32" s="856"/>
      <c r="AC32" s="856"/>
      <c r="AD32" s="856"/>
      <c r="AE32" s="856"/>
      <c r="AF32" s="856"/>
      <c r="AG32" s="856"/>
      <c r="AH32" s="856"/>
      <c r="AI32" s="856"/>
      <c r="AJ32" s="856"/>
      <c r="AK32" s="856"/>
      <c r="AL32" s="856"/>
      <c r="AM32" s="856"/>
      <c r="AN32" s="852"/>
      <c r="AO32" s="853">
        <f>MAX(AO16,AO21,AO30)</f>
        <v>0</v>
      </c>
    </row>
    <row r="33" spans="1:41" s="853" customFormat="1" ht="12.75" customHeight="1">
      <c r="A33" s="856"/>
      <c r="B33" s="860" t="s">
        <v>1588</v>
      </c>
      <c r="C33" s="856"/>
      <c r="E33" s="856"/>
      <c r="F33" s="856"/>
      <c r="G33" s="856"/>
      <c r="H33" s="856"/>
      <c r="I33" s="856"/>
      <c r="J33" s="856"/>
      <c r="K33" s="856"/>
      <c r="L33" s="856"/>
      <c r="M33" s="856"/>
      <c r="N33" s="856"/>
      <c r="O33" s="856"/>
      <c r="P33" s="856"/>
      <c r="Q33" s="856"/>
      <c r="R33" s="856"/>
      <c r="S33" s="856"/>
      <c r="T33" s="856"/>
      <c r="U33" s="856"/>
      <c r="V33" s="856"/>
      <c r="W33" s="856"/>
      <c r="X33" s="856"/>
      <c r="Y33" s="856"/>
      <c r="Z33" s="856"/>
      <c r="AA33" s="856"/>
      <c r="AB33" s="856"/>
      <c r="AC33" s="856"/>
      <c r="AD33" s="856"/>
      <c r="AE33" s="856"/>
      <c r="AF33" s="856"/>
      <c r="AG33" s="856"/>
      <c r="AH33" s="856"/>
      <c r="AI33" s="856"/>
      <c r="AJ33" s="856"/>
      <c r="AK33" s="856"/>
      <c r="AL33" s="856"/>
      <c r="AM33" s="856"/>
      <c r="AN33" s="852"/>
    </row>
    <row r="34" spans="1:41" s="853" customFormat="1" ht="12.75" customHeight="1">
      <c r="A34" s="856"/>
      <c r="B34" s="2935" t="s">
        <v>1589</v>
      </c>
      <c r="C34" s="2935"/>
      <c r="D34" s="2935"/>
      <c r="E34" s="2935"/>
      <c r="F34" s="2935"/>
      <c r="G34" s="2935"/>
      <c r="H34" s="2935"/>
      <c r="I34" s="2935"/>
      <c r="J34" s="2935"/>
      <c r="K34" s="2935"/>
      <c r="L34" s="2935"/>
      <c r="M34" s="2935"/>
      <c r="N34" s="2935"/>
      <c r="O34" s="2935"/>
      <c r="P34" s="2935"/>
      <c r="Q34" s="2935"/>
      <c r="R34" s="2935"/>
      <c r="S34" s="2935"/>
      <c r="T34" s="2935"/>
      <c r="U34" s="2935"/>
      <c r="V34" s="2935"/>
      <c r="W34" s="2935"/>
      <c r="X34" s="2935"/>
      <c r="Y34" s="2935"/>
      <c r="Z34" s="2935"/>
      <c r="AA34" s="2935"/>
      <c r="AB34" s="2935"/>
      <c r="AC34" s="2935"/>
      <c r="AD34" s="2935"/>
      <c r="AE34" s="2935"/>
      <c r="AF34" s="2935"/>
      <c r="AG34" s="2935"/>
      <c r="AH34" s="2935"/>
      <c r="AI34" s="2935"/>
      <c r="AJ34" s="2935"/>
      <c r="AK34" s="2935"/>
      <c r="AL34" s="856"/>
      <c r="AM34" s="856"/>
      <c r="AN34" s="852"/>
    </row>
    <row r="35" spans="1:41" s="853" customFormat="1" ht="12.75" customHeight="1">
      <c r="A35" s="856"/>
      <c r="B35" s="2935"/>
      <c r="C35" s="2935"/>
      <c r="D35" s="2935"/>
      <c r="E35" s="2935"/>
      <c r="F35" s="2935"/>
      <c r="G35" s="2935"/>
      <c r="H35" s="2935"/>
      <c r="I35" s="2935"/>
      <c r="J35" s="2935"/>
      <c r="K35" s="2935"/>
      <c r="L35" s="2935"/>
      <c r="M35" s="2935"/>
      <c r="N35" s="2935"/>
      <c r="O35" s="2935"/>
      <c r="P35" s="2935"/>
      <c r="Q35" s="2935"/>
      <c r="R35" s="2935"/>
      <c r="S35" s="2935"/>
      <c r="T35" s="2935"/>
      <c r="U35" s="2935"/>
      <c r="V35" s="2935"/>
      <c r="W35" s="2935"/>
      <c r="X35" s="2935"/>
      <c r="Y35" s="2935"/>
      <c r="Z35" s="2935"/>
      <c r="AA35" s="2935"/>
      <c r="AB35" s="2935"/>
      <c r="AC35" s="2935"/>
      <c r="AD35" s="2935"/>
      <c r="AE35" s="2935"/>
      <c r="AF35" s="2935"/>
      <c r="AG35" s="2935"/>
      <c r="AH35" s="2935"/>
      <c r="AI35" s="2935"/>
      <c r="AJ35" s="2935"/>
      <c r="AK35" s="2935"/>
      <c r="AL35" s="856"/>
      <c r="AM35" s="856"/>
      <c r="AN35" s="852"/>
    </row>
    <row r="36" spans="1:41" s="853" customFormat="1" ht="12.75" customHeight="1">
      <c r="A36" s="856"/>
      <c r="B36" s="856"/>
      <c r="C36" s="856"/>
      <c r="E36" s="856"/>
      <c r="F36" s="856"/>
      <c r="G36" s="856"/>
      <c r="H36" s="856"/>
      <c r="I36" s="856"/>
      <c r="J36" s="856"/>
      <c r="K36" s="856"/>
      <c r="L36" s="856"/>
      <c r="M36" s="856"/>
      <c r="N36" s="856"/>
      <c r="O36" s="856"/>
      <c r="P36" s="856"/>
      <c r="Q36" s="856"/>
      <c r="R36" s="856"/>
      <c r="S36" s="856"/>
      <c r="T36" s="856"/>
      <c r="U36" s="856"/>
      <c r="V36" s="856"/>
      <c r="W36" s="856"/>
      <c r="X36" s="856"/>
      <c r="Y36" s="856"/>
      <c r="Z36" s="856"/>
      <c r="AA36" s="856"/>
      <c r="AB36" s="856"/>
      <c r="AC36" s="856"/>
      <c r="AD36" s="856"/>
      <c r="AE36" s="856"/>
      <c r="AF36" s="856"/>
      <c r="AG36" s="856"/>
      <c r="AH36" s="856"/>
      <c r="AI36" s="856"/>
      <c r="AJ36" s="856"/>
      <c r="AK36" s="856"/>
      <c r="AL36" s="856"/>
      <c r="AM36" s="856"/>
      <c r="AN36" s="852"/>
    </row>
    <row r="37" spans="1:41" s="853" customFormat="1" ht="12.75" customHeight="1">
      <c r="A37" s="856"/>
      <c r="B37" s="2890" t="s">
        <v>628</v>
      </c>
      <c r="C37" s="2890"/>
      <c r="D37" s="863"/>
      <c r="E37" s="871" t="s">
        <v>1590</v>
      </c>
      <c r="F37" s="856"/>
      <c r="G37" s="856"/>
      <c r="H37" s="856"/>
      <c r="I37" s="856"/>
      <c r="J37" s="856"/>
      <c r="K37" s="856"/>
      <c r="L37" s="856"/>
      <c r="M37" s="856"/>
      <c r="N37" s="856"/>
      <c r="O37" s="856"/>
      <c r="P37" s="856"/>
      <c r="Q37" s="856"/>
      <c r="R37" s="856"/>
      <c r="S37" s="856"/>
      <c r="T37" s="856"/>
      <c r="U37" s="856"/>
      <c r="V37" s="856"/>
      <c r="W37" s="856"/>
      <c r="X37" s="856"/>
      <c r="Y37" s="856"/>
      <c r="Z37" s="856"/>
      <c r="AA37" s="856"/>
      <c r="AB37" s="856"/>
      <c r="AC37" s="856"/>
      <c r="AD37" s="856"/>
      <c r="AE37" s="856"/>
      <c r="AF37" s="856"/>
      <c r="AG37" s="856"/>
      <c r="AH37" s="856"/>
      <c r="AI37" s="856"/>
      <c r="AJ37" s="856"/>
      <c r="AK37" s="856"/>
      <c r="AL37" s="856"/>
      <c r="AM37" s="856"/>
      <c r="AN37" s="852"/>
      <c r="AO37" s="872"/>
    </row>
    <row r="38" spans="1:41" s="853" customFormat="1" ht="12.75" customHeight="1">
      <c r="A38" s="856"/>
      <c r="B38" s="856"/>
      <c r="C38" s="856"/>
      <c r="E38" s="856"/>
      <c r="F38" s="856"/>
      <c r="G38" s="856"/>
      <c r="H38" s="856"/>
      <c r="I38" s="856"/>
      <c r="J38" s="856"/>
      <c r="K38" s="856"/>
      <c r="L38" s="856"/>
      <c r="M38" s="856"/>
      <c r="N38" s="856"/>
      <c r="O38" s="856"/>
      <c r="P38" s="856"/>
      <c r="Q38" s="856"/>
      <c r="R38" s="856"/>
      <c r="S38" s="856"/>
      <c r="T38" s="856"/>
      <c r="U38" s="856"/>
      <c r="V38" s="856"/>
      <c r="W38" s="856"/>
      <c r="X38" s="856"/>
      <c r="Y38" s="856"/>
      <c r="Z38" s="856"/>
      <c r="AA38" s="856"/>
      <c r="AB38" s="856"/>
      <c r="AC38" s="856"/>
      <c r="AD38" s="856"/>
      <c r="AE38" s="856"/>
      <c r="AF38" s="856"/>
      <c r="AG38" s="856"/>
      <c r="AH38" s="856"/>
      <c r="AI38" s="856"/>
      <c r="AJ38" s="856"/>
      <c r="AK38" s="856"/>
      <c r="AL38" s="856"/>
      <c r="AM38" s="856"/>
      <c r="AN38" s="852"/>
      <c r="AO38" s="872"/>
    </row>
    <row r="39" spans="1:41" s="853" customFormat="1" ht="12.75" customHeight="1">
      <c r="A39" s="856"/>
      <c r="B39" s="2890" t="s">
        <v>628</v>
      </c>
      <c r="C39" s="2890"/>
      <c r="D39" s="863"/>
      <c r="E39" s="873" t="s">
        <v>1591</v>
      </c>
      <c r="F39" s="856"/>
      <c r="G39" s="856"/>
      <c r="H39" s="856"/>
      <c r="I39" s="856"/>
      <c r="J39" s="856"/>
      <c r="K39" s="856"/>
      <c r="L39" s="856"/>
      <c r="M39" s="856"/>
      <c r="N39" s="856"/>
      <c r="O39" s="856"/>
      <c r="P39" s="856"/>
      <c r="Q39" s="856"/>
      <c r="R39" s="856"/>
      <c r="S39" s="856"/>
      <c r="T39" s="856"/>
      <c r="U39" s="856"/>
      <c r="V39" s="856"/>
      <c r="W39" s="856"/>
      <c r="X39" s="856"/>
      <c r="Y39" s="856"/>
      <c r="Z39" s="856"/>
      <c r="AA39" s="856"/>
      <c r="AB39" s="856"/>
      <c r="AC39" s="856"/>
      <c r="AD39" s="856"/>
      <c r="AE39" s="856"/>
      <c r="AF39" s="856"/>
      <c r="AG39" s="856"/>
      <c r="AH39" s="856"/>
      <c r="AI39" s="856"/>
      <c r="AJ39" s="856"/>
      <c r="AK39" s="856"/>
      <c r="AL39" s="856"/>
      <c r="AM39" s="856"/>
      <c r="AN39" s="852"/>
      <c r="AO39" s="872"/>
    </row>
    <row r="40" spans="1:41" s="853" customFormat="1" ht="12.75" customHeight="1">
      <c r="A40" s="856"/>
      <c r="B40" s="856"/>
      <c r="C40" s="856"/>
      <c r="D40" s="856"/>
      <c r="E40" s="856"/>
      <c r="F40" s="856"/>
      <c r="G40" s="856"/>
      <c r="H40" s="856"/>
      <c r="I40" s="856"/>
      <c r="J40" s="856"/>
      <c r="K40" s="856"/>
      <c r="L40" s="856"/>
      <c r="M40" s="856"/>
      <c r="N40" s="856"/>
      <c r="O40" s="856"/>
      <c r="P40" s="856"/>
      <c r="Q40" s="856"/>
      <c r="R40" s="856"/>
      <c r="S40" s="856"/>
      <c r="T40" s="856"/>
      <c r="U40" s="856"/>
      <c r="V40" s="856"/>
      <c r="W40" s="856"/>
      <c r="X40" s="856"/>
      <c r="Y40" s="856"/>
      <c r="Z40" s="856"/>
      <c r="AA40" s="856"/>
      <c r="AB40" s="856"/>
      <c r="AC40" s="856"/>
      <c r="AD40" s="856"/>
      <c r="AE40" s="856"/>
      <c r="AF40" s="856"/>
      <c r="AG40" s="856"/>
      <c r="AH40" s="856"/>
      <c r="AI40" s="856"/>
      <c r="AJ40" s="856"/>
      <c r="AK40" s="856"/>
      <c r="AL40" s="856"/>
      <c r="AM40" s="856"/>
      <c r="AN40" s="852"/>
      <c r="AO40" s="872"/>
    </row>
    <row r="41" spans="1:41" s="853" customFormat="1" ht="12.75" customHeight="1">
      <c r="A41" s="856"/>
      <c r="B41" s="2890" t="s">
        <v>628</v>
      </c>
      <c r="C41" s="2890"/>
      <c r="D41" s="863"/>
      <c r="E41" s="874" t="s">
        <v>1592</v>
      </c>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56"/>
      <c r="AF41" s="856"/>
      <c r="AG41" s="856"/>
      <c r="AH41" s="856"/>
      <c r="AI41" s="856"/>
      <c r="AJ41" s="856"/>
      <c r="AK41" s="856"/>
      <c r="AL41" s="856"/>
      <c r="AM41" s="856"/>
      <c r="AN41" s="852"/>
      <c r="AO41" s="872"/>
    </row>
    <row r="42" spans="1:41" s="853" customFormat="1" ht="12.75" customHeight="1">
      <c r="A42" s="856"/>
      <c r="B42" s="856"/>
      <c r="C42" s="856"/>
      <c r="D42" s="856"/>
      <c r="E42" s="874"/>
      <c r="F42" s="872"/>
      <c r="G42" s="872"/>
      <c r="H42" s="856"/>
      <c r="I42" s="856"/>
      <c r="J42" s="856"/>
      <c r="K42" s="856"/>
      <c r="L42" s="856"/>
      <c r="M42" s="856"/>
      <c r="N42" s="856"/>
      <c r="O42" s="856"/>
      <c r="P42" s="856"/>
      <c r="Q42" s="856"/>
      <c r="R42" s="856"/>
      <c r="S42" s="856"/>
      <c r="T42" s="856"/>
      <c r="U42" s="856"/>
      <c r="V42" s="856"/>
      <c r="W42" s="856"/>
      <c r="X42" s="856"/>
      <c r="Y42" s="856"/>
      <c r="Z42" s="856"/>
      <c r="AA42" s="856"/>
      <c r="AB42" s="856"/>
      <c r="AC42" s="856"/>
      <c r="AD42" s="856"/>
      <c r="AE42" s="856"/>
      <c r="AF42" s="856"/>
      <c r="AG42" s="856"/>
      <c r="AH42" s="856"/>
      <c r="AI42" s="856"/>
      <c r="AJ42" s="856"/>
      <c r="AK42" s="856"/>
      <c r="AL42" s="856"/>
      <c r="AM42" s="856"/>
      <c r="AN42" s="852"/>
      <c r="AO42" s="875"/>
    </row>
    <row r="43" spans="1:41" s="853" customFormat="1" ht="12.75" customHeight="1">
      <c r="A43" s="856"/>
      <c r="B43" s="2890" t="s">
        <v>628</v>
      </c>
      <c r="C43" s="2890"/>
      <c r="D43" s="863"/>
      <c r="E43" s="874" t="s">
        <v>1593</v>
      </c>
      <c r="F43" s="872"/>
      <c r="G43" s="872"/>
      <c r="H43" s="856"/>
      <c r="I43" s="856"/>
      <c r="J43" s="856"/>
      <c r="K43" s="856"/>
      <c r="L43" s="856"/>
      <c r="M43" s="856"/>
      <c r="N43" s="856"/>
      <c r="O43" s="856"/>
      <c r="P43" s="856"/>
      <c r="Q43" s="856"/>
      <c r="R43" s="856"/>
      <c r="S43" s="856"/>
      <c r="T43" s="856"/>
      <c r="U43" s="856"/>
      <c r="V43" s="856"/>
      <c r="W43" s="856"/>
      <c r="X43" s="856"/>
      <c r="Y43" s="856"/>
      <c r="Z43" s="856"/>
      <c r="AA43" s="856"/>
      <c r="AB43" s="856"/>
      <c r="AC43" s="856"/>
      <c r="AD43" s="856"/>
      <c r="AE43" s="856"/>
      <c r="AF43" s="856"/>
      <c r="AG43" s="856"/>
      <c r="AH43" s="856"/>
      <c r="AI43" s="856"/>
      <c r="AJ43" s="856"/>
      <c r="AK43" s="856"/>
      <c r="AL43" s="856"/>
      <c r="AM43" s="856"/>
      <c r="AN43" s="852"/>
      <c r="AO43" s="875"/>
    </row>
    <row r="44" spans="1:41" s="853" customFormat="1" ht="12.75" customHeight="1">
      <c r="A44" s="856"/>
      <c r="B44" s="856"/>
      <c r="C44" s="856"/>
      <c r="D44" s="856"/>
      <c r="E44" s="874"/>
      <c r="F44" s="872"/>
      <c r="G44" s="872"/>
      <c r="H44" s="856"/>
      <c r="I44" s="856"/>
      <c r="J44" s="856"/>
      <c r="K44" s="856"/>
      <c r="L44" s="856"/>
      <c r="M44" s="856"/>
      <c r="N44" s="856"/>
      <c r="O44" s="856"/>
      <c r="P44" s="856"/>
      <c r="Q44" s="856"/>
      <c r="R44" s="856"/>
      <c r="S44" s="856"/>
      <c r="T44" s="856"/>
      <c r="U44" s="856"/>
      <c r="V44" s="856"/>
      <c r="W44" s="856"/>
      <c r="X44" s="856"/>
      <c r="Y44" s="856"/>
      <c r="Z44" s="856"/>
      <c r="AA44" s="856"/>
      <c r="AB44" s="856"/>
      <c r="AC44" s="856"/>
      <c r="AD44" s="856"/>
      <c r="AE44" s="856"/>
      <c r="AF44" s="856"/>
      <c r="AG44" s="856"/>
      <c r="AH44" s="856"/>
      <c r="AI44" s="856"/>
      <c r="AJ44" s="856"/>
      <c r="AK44" s="856"/>
      <c r="AL44" s="856"/>
      <c r="AM44" s="856"/>
      <c r="AN44" s="852"/>
    </row>
    <row r="45" spans="1:41" s="853" customFormat="1" ht="12.75" customHeight="1">
      <c r="A45" s="856"/>
      <c r="B45" s="2890" t="s">
        <v>628</v>
      </c>
      <c r="C45" s="2890"/>
      <c r="D45" s="863"/>
      <c r="E45" s="874" t="s">
        <v>1594</v>
      </c>
      <c r="F45" s="872"/>
      <c r="G45" s="872"/>
      <c r="H45" s="856"/>
      <c r="I45" s="856"/>
      <c r="J45" s="856"/>
      <c r="K45" s="856"/>
      <c r="L45" s="856"/>
      <c r="M45" s="856"/>
      <c r="N45" s="856"/>
      <c r="O45" s="856"/>
      <c r="P45" s="856"/>
      <c r="Q45" s="856"/>
      <c r="R45" s="856"/>
      <c r="S45" s="856"/>
      <c r="T45" s="856"/>
      <c r="U45" s="856"/>
      <c r="V45" s="856"/>
      <c r="W45" s="856"/>
      <c r="X45" s="856"/>
      <c r="Y45" s="856"/>
      <c r="Z45" s="856"/>
      <c r="AA45" s="856"/>
      <c r="AB45" s="856"/>
      <c r="AC45" s="856"/>
      <c r="AD45" s="856"/>
      <c r="AE45" s="856"/>
      <c r="AF45" s="856"/>
      <c r="AG45" s="856"/>
      <c r="AH45" s="856"/>
      <c r="AI45" s="856"/>
      <c r="AJ45" s="856"/>
      <c r="AK45" s="856"/>
      <c r="AL45" s="856"/>
      <c r="AM45" s="856"/>
      <c r="AN45" s="852"/>
    </row>
    <row r="46" spans="1:41" s="853" customFormat="1" ht="12.75" customHeight="1">
      <c r="A46" s="856"/>
      <c r="B46" s="856"/>
      <c r="C46" s="856"/>
      <c r="D46" s="856"/>
      <c r="E46" s="874"/>
      <c r="F46" s="872"/>
      <c r="G46" s="872"/>
      <c r="H46" s="856"/>
      <c r="I46" s="856"/>
      <c r="J46" s="856"/>
      <c r="K46" s="856"/>
      <c r="L46" s="856"/>
      <c r="M46" s="856"/>
      <c r="N46" s="856"/>
      <c r="O46" s="856"/>
      <c r="P46" s="856"/>
      <c r="Q46" s="856"/>
      <c r="R46" s="856"/>
      <c r="S46" s="856"/>
      <c r="T46" s="856"/>
      <c r="U46" s="856"/>
      <c r="V46" s="856"/>
      <c r="W46" s="856"/>
      <c r="X46" s="856"/>
      <c r="Y46" s="856"/>
      <c r="Z46" s="856"/>
      <c r="AA46" s="856"/>
      <c r="AB46" s="856"/>
      <c r="AC46" s="856"/>
      <c r="AD46" s="856"/>
      <c r="AE46" s="856"/>
      <c r="AF46" s="856"/>
      <c r="AG46" s="856"/>
      <c r="AH46" s="856"/>
      <c r="AI46" s="856"/>
      <c r="AJ46" s="856"/>
      <c r="AK46" s="856"/>
      <c r="AL46" s="856"/>
      <c r="AM46" s="856"/>
      <c r="AN46" s="852"/>
    </row>
    <row r="47" spans="1:41" s="853" customFormat="1" ht="12.75" customHeight="1">
      <c r="A47" s="856"/>
      <c r="B47" s="2890" t="s">
        <v>628</v>
      </c>
      <c r="C47" s="2890"/>
      <c r="D47" s="863"/>
      <c r="E47" s="876" t="s">
        <v>1595</v>
      </c>
      <c r="F47" s="872"/>
      <c r="G47" s="872"/>
      <c r="H47" s="856"/>
      <c r="I47" s="856"/>
      <c r="J47" s="856"/>
      <c r="K47" s="856"/>
      <c r="L47" s="856"/>
      <c r="M47" s="856"/>
      <c r="N47" s="856"/>
      <c r="O47" s="856"/>
      <c r="P47" s="856"/>
      <c r="Q47" s="856"/>
      <c r="R47" s="856"/>
      <c r="S47" s="856"/>
      <c r="T47" s="856"/>
      <c r="U47" s="856"/>
      <c r="V47" s="856"/>
      <c r="W47" s="856"/>
      <c r="X47" s="856"/>
      <c r="Y47" s="856"/>
      <c r="Z47" s="856"/>
      <c r="AA47" s="856"/>
      <c r="AB47" s="856"/>
      <c r="AC47" s="856"/>
      <c r="AD47" s="856"/>
      <c r="AE47" s="856"/>
      <c r="AF47" s="856"/>
      <c r="AG47" s="856"/>
      <c r="AH47" s="856"/>
      <c r="AI47" s="856"/>
      <c r="AJ47" s="856"/>
      <c r="AK47" s="856"/>
      <c r="AL47" s="856"/>
      <c r="AM47" s="856"/>
      <c r="AN47" s="852"/>
    </row>
    <row r="48" spans="1:41" s="853" customFormat="1" ht="12.75" customHeight="1">
      <c r="A48" s="856"/>
      <c r="B48" s="856"/>
      <c r="C48" s="856"/>
      <c r="D48" s="856"/>
      <c r="E48" s="856"/>
      <c r="F48" s="856"/>
      <c r="G48" s="856"/>
      <c r="H48" s="856"/>
      <c r="I48" s="856"/>
      <c r="J48" s="856"/>
      <c r="K48" s="856"/>
      <c r="L48" s="856"/>
      <c r="M48" s="856"/>
      <c r="N48" s="856"/>
      <c r="O48" s="856"/>
      <c r="P48" s="856"/>
      <c r="Q48" s="856"/>
      <c r="R48" s="856"/>
      <c r="S48" s="856"/>
      <c r="T48" s="856"/>
      <c r="U48" s="856"/>
      <c r="V48" s="856"/>
      <c r="W48" s="856"/>
      <c r="X48" s="856"/>
      <c r="Y48" s="856"/>
      <c r="Z48" s="856"/>
      <c r="AA48" s="856"/>
      <c r="AB48" s="856"/>
      <c r="AC48" s="856"/>
      <c r="AD48" s="856"/>
      <c r="AE48" s="856"/>
      <c r="AF48" s="856"/>
      <c r="AG48" s="856"/>
      <c r="AH48" s="856"/>
      <c r="AI48" s="856"/>
      <c r="AJ48" s="856"/>
      <c r="AK48" s="856"/>
      <c r="AL48" s="856"/>
      <c r="AM48" s="856"/>
      <c r="AN48" s="852"/>
    </row>
    <row r="49" spans="1:50" s="853" customFormat="1" ht="12.75" customHeight="1">
      <c r="A49" s="856"/>
      <c r="B49" s="2890" t="s">
        <v>628</v>
      </c>
      <c r="C49" s="2890"/>
      <c r="D49" s="863"/>
      <c r="E49" s="876" t="s">
        <v>1596</v>
      </c>
      <c r="F49" s="856"/>
      <c r="G49" s="856"/>
      <c r="H49" s="856"/>
      <c r="I49" s="856"/>
      <c r="J49" s="856"/>
      <c r="K49" s="856"/>
      <c r="L49" s="856"/>
      <c r="M49" s="856"/>
      <c r="N49" s="856"/>
      <c r="O49" s="856"/>
      <c r="P49" s="856"/>
      <c r="Q49" s="856"/>
      <c r="R49" s="856"/>
      <c r="S49" s="856"/>
      <c r="T49" s="856"/>
      <c r="U49" s="856"/>
      <c r="V49" s="856"/>
      <c r="W49" s="856"/>
      <c r="X49" s="856"/>
      <c r="Y49" s="856"/>
      <c r="Z49" s="856"/>
      <c r="AA49" s="856"/>
      <c r="AB49" s="856"/>
      <c r="AC49" s="856"/>
      <c r="AD49" s="856"/>
      <c r="AE49" s="856"/>
      <c r="AF49" s="856"/>
      <c r="AG49" s="856"/>
      <c r="AH49" s="856"/>
      <c r="AI49" s="856"/>
      <c r="AJ49" s="856"/>
      <c r="AK49" s="856"/>
      <c r="AL49" s="856"/>
      <c r="AM49" s="856"/>
      <c r="AN49" s="852"/>
      <c r="AX49" s="877"/>
    </row>
    <row r="50" spans="1:50" s="853" customFormat="1" ht="12.75" customHeight="1">
      <c r="A50" s="856"/>
      <c r="B50" s="856"/>
      <c r="C50" s="856"/>
      <c r="D50" s="856"/>
      <c r="E50" s="856"/>
      <c r="F50" s="856"/>
      <c r="G50" s="856"/>
      <c r="H50" s="856"/>
      <c r="I50" s="856"/>
      <c r="J50" s="856"/>
      <c r="K50" s="856"/>
      <c r="L50" s="856"/>
      <c r="M50" s="856"/>
      <c r="N50" s="856"/>
      <c r="O50" s="856"/>
      <c r="P50" s="856"/>
      <c r="Q50" s="856"/>
      <c r="R50" s="856"/>
      <c r="S50" s="856"/>
      <c r="T50" s="856"/>
      <c r="U50" s="856"/>
      <c r="V50" s="856"/>
      <c r="W50" s="856"/>
      <c r="X50" s="856"/>
      <c r="Y50" s="856"/>
      <c r="Z50" s="856"/>
      <c r="AA50" s="856"/>
      <c r="AB50" s="856"/>
      <c r="AC50" s="856"/>
      <c r="AD50" s="856"/>
      <c r="AE50" s="856"/>
      <c r="AF50" s="856"/>
      <c r="AG50" s="856"/>
      <c r="AH50" s="856"/>
      <c r="AI50" s="856"/>
      <c r="AJ50" s="856"/>
      <c r="AK50" s="856"/>
      <c r="AL50" s="856"/>
      <c r="AM50" s="856"/>
      <c r="AN50" s="852"/>
    </row>
    <row r="51" spans="1:50" s="853" customFormat="1" ht="12.75" customHeight="1">
      <c r="A51" s="878"/>
      <c r="B51" s="879"/>
      <c r="C51" s="879"/>
      <c r="D51" s="879"/>
      <c r="E51" s="879"/>
      <c r="F51" s="879"/>
      <c r="G51" s="880"/>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c r="AH51" s="881"/>
      <c r="AI51" s="882"/>
      <c r="AJ51" s="882" t="s">
        <v>1597</v>
      </c>
      <c r="AK51" s="2923">
        <f>AO32</f>
        <v>0</v>
      </c>
      <c r="AL51" s="2924"/>
      <c r="AM51" s="2925"/>
      <c r="AN51" s="852"/>
    </row>
    <row r="52" spans="1:50" s="853" customFormat="1" ht="12.75" customHeight="1" thickBot="1">
      <c r="A52" s="883"/>
      <c r="B52" s="884"/>
      <c r="C52" s="885"/>
      <c r="D52" s="885"/>
      <c r="E52" s="885"/>
      <c r="F52" s="885"/>
      <c r="G52" s="885"/>
      <c r="H52" s="885"/>
      <c r="I52" s="885"/>
      <c r="J52" s="885"/>
      <c r="K52" s="885"/>
      <c r="L52" s="885"/>
      <c r="M52" s="885"/>
      <c r="N52" s="885"/>
      <c r="O52" s="885"/>
      <c r="P52" s="885"/>
      <c r="Q52" s="885"/>
      <c r="R52" s="885"/>
      <c r="S52" s="885"/>
      <c r="T52" s="885"/>
      <c r="U52" s="885"/>
      <c r="V52" s="885"/>
      <c r="W52" s="885"/>
      <c r="X52" s="885"/>
      <c r="Y52" s="885"/>
      <c r="Z52" s="885"/>
      <c r="AA52" s="885"/>
      <c r="AB52" s="885"/>
      <c r="AC52" s="885"/>
      <c r="AD52" s="885"/>
      <c r="AE52" s="885"/>
      <c r="AF52" s="885"/>
      <c r="AG52" s="885"/>
      <c r="AH52" s="885"/>
      <c r="AI52" s="885"/>
      <c r="AJ52" s="885"/>
      <c r="AK52" s="885"/>
      <c r="AL52" s="885"/>
      <c r="AM52" s="886"/>
      <c r="AN52" s="852"/>
    </row>
    <row r="53" spans="1:50" s="853" customFormat="1" ht="12.75" customHeight="1" thickTop="1">
      <c r="A53" s="887"/>
      <c r="B53" s="888"/>
      <c r="C53" s="889"/>
      <c r="D53" s="889"/>
      <c r="E53" s="889"/>
      <c r="F53" s="889"/>
      <c r="G53" s="889"/>
      <c r="H53" s="889"/>
      <c r="I53" s="890"/>
      <c r="J53" s="890"/>
      <c r="K53" s="890"/>
      <c r="L53" s="890"/>
      <c r="M53" s="890"/>
      <c r="N53" s="890"/>
      <c r="O53" s="890"/>
      <c r="P53" s="890"/>
      <c r="Q53" s="890"/>
      <c r="R53" s="887"/>
      <c r="S53" s="855"/>
      <c r="T53" s="855"/>
      <c r="U53" s="855"/>
      <c r="V53" s="855"/>
      <c r="W53" s="855"/>
      <c r="X53" s="855"/>
      <c r="Y53" s="855"/>
      <c r="Z53" s="855"/>
      <c r="AA53" s="855"/>
      <c r="AB53" s="855"/>
      <c r="AC53" s="855"/>
      <c r="AD53" s="855"/>
      <c r="AE53" s="855"/>
      <c r="AF53" s="887"/>
      <c r="AG53" s="855"/>
      <c r="AH53" s="855"/>
      <c r="AI53" s="855"/>
      <c r="AJ53" s="855"/>
      <c r="AK53" s="866"/>
      <c r="AL53" s="866"/>
      <c r="AM53" s="866"/>
      <c r="AN53" s="852"/>
    </row>
    <row r="54" spans="1:50" s="853" customFormat="1" ht="12.75" customHeight="1">
      <c r="A54" s="854" t="s">
        <v>1598</v>
      </c>
      <c r="B54" s="855" t="s">
        <v>1599</v>
      </c>
      <c r="C54" s="855"/>
      <c r="D54" s="855"/>
      <c r="E54" s="855"/>
      <c r="F54" s="855"/>
      <c r="G54" s="855"/>
      <c r="H54" s="855"/>
      <c r="I54" s="855"/>
      <c r="J54" s="855"/>
      <c r="K54" s="855"/>
      <c r="L54" s="855"/>
      <c r="M54" s="855"/>
      <c r="N54" s="855"/>
      <c r="O54" s="855"/>
      <c r="P54" s="855"/>
      <c r="Q54" s="855"/>
      <c r="R54" s="855"/>
      <c r="S54" s="855"/>
      <c r="T54" s="855"/>
      <c r="U54" s="855"/>
      <c r="V54" s="855"/>
      <c r="W54" s="855"/>
      <c r="X54" s="855"/>
      <c r="Y54" s="855"/>
      <c r="Z54" s="855"/>
      <c r="AA54" s="855"/>
      <c r="AB54" s="855"/>
      <c r="AC54" s="855"/>
      <c r="AD54" s="855"/>
      <c r="AE54" s="2891" t="s">
        <v>1600</v>
      </c>
      <c r="AF54" s="2891"/>
      <c r="AG54" s="2891"/>
      <c r="AH54" s="2891"/>
      <c r="AI54" s="2891"/>
      <c r="AJ54" s="2891"/>
      <c r="AK54" s="2891"/>
      <c r="AL54" s="856"/>
      <c r="AM54" s="856"/>
      <c r="AN54" s="852"/>
    </row>
    <row r="55" spans="1:50" s="853" customFormat="1" ht="12.75" customHeight="1">
      <c r="A55" s="854"/>
      <c r="B55" s="855" t="s">
        <v>2245</v>
      </c>
      <c r="C55" s="855"/>
      <c r="D55" s="855"/>
      <c r="E55" s="855"/>
      <c r="F55" s="855"/>
      <c r="G55" s="855"/>
      <c r="H55" s="855"/>
      <c r="I55" s="855"/>
      <c r="J55" s="855"/>
      <c r="K55" s="855"/>
      <c r="L55" s="855"/>
      <c r="M55" s="855"/>
      <c r="N55" s="855"/>
      <c r="O55" s="855"/>
      <c r="P55" s="855"/>
      <c r="Q55" s="855"/>
      <c r="R55" s="855"/>
      <c r="S55" s="855"/>
      <c r="T55" s="855"/>
      <c r="U55" s="855"/>
      <c r="V55" s="855"/>
      <c r="W55" s="855"/>
      <c r="X55" s="855"/>
      <c r="Y55" s="855"/>
      <c r="Z55" s="855"/>
      <c r="AA55" s="855"/>
      <c r="AB55" s="855"/>
      <c r="AC55" s="855"/>
      <c r="AD55" s="855"/>
      <c r="AE55" s="859"/>
      <c r="AF55" s="859"/>
      <c r="AG55" s="859"/>
      <c r="AH55" s="859"/>
      <c r="AI55" s="859"/>
      <c r="AJ55" s="859"/>
      <c r="AK55" s="859"/>
      <c r="AL55" s="856"/>
      <c r="AM55" s="856"/>
      <c r="AN55" s="852"/>
    </row>
    <row r="56" spans="1:50" s="853" customFormat="1" ht="12.75" customHeight="1">
      <c r="A56" s="854"/>
      <c r="B56" s="855"/>
      <c r="C56" s="855"/>
      <c r="D56" s="855"/>
      <c r="E56" s="855"/>
      <c r="F56" s="855"/>
      <c r="G56" s="855"/>
      <c r="H56" s="855"/>
      <c r="I56" s="855"/>
      <c r="J56" s="855"/>
      <c r="K56" s="855"/>
      <c r="L56" s="855"/>
      <c r="M56" s="855"/>
      <c r="N56" s="855"/>
      <c r="O56" s="855"/>
      <c r="P56" s="855"/>
      <c r="Q56" s="855"/>
      <c r="R56" s="855"/>
      <c r="S56" s="855"/>
      <c r="T56" s="855"/>
      <c r="U56" s="855"/>
      <c r="V56" s="855"/>
      <c r="W56" s="855"/>
      <c r="X56" s="855"/>
      <c r="Y56" s="855"/>
      <c r="Z56" s="855"/>
      <c r="AA56" s="855"/>
      <c r="AB56" s="855"/>
      <c r="AC56" s="855"/>
      <c r="AD56" s="855"/>
      <c r="AE56" s="859"/>
      <c r="AF56" s="859"/>
      <c r="AG56" s="859"/>
      <c r="AH56" s="859"/>
      <c r="AI56" s="859"/>
      <c r="AJ56" s="859"/>
      <c r="AK56" s="859"/>
      <c r="AL56" s="856"/>
      <c r="AM56" s="856"/>
      <c r="AN56" s="852"/>
    </row>
    <row r="57" spans="1:50" s="853" customFormat="1" ht="12.75" customHeight="1">
      <c r="A57" s="854"/>
      <c r="B57" s="2890" t="s">
        <v>628</v>
      </c>
      <c r="C57" s="2890"/>
      <c r="D57" s="863" t="s">
        <v>1601</v>
      </c>
      <c r="E57" s="2914" t="s">
        <v>2257</v>
      </c>
      <c r="F57" s="2915"/>
      <c r="G57" s="2915"/>
      <c r="H57" s="2915"/>
      <c r="I57" s="2915"/>
      <c r="J57" s="2915"/>
      <c r="K57" s="2915"/>
      <c r="L57" s="2915"/>
      <c r="M57" s="2915"/>
      <c r="N57" s="2915"/>
      <c r="O57" s="2915"/>
      <c r="P57" s="2915"/>
      <c r="Q57" s="2915"/>
      <c r="R57" s="2915"/>
      <c r="S57" s="2915"/>
      <c r="T57" s="2915"/>
      <c r="U57" s="2915"/>
      <c r="V57" s="2915"/>
      <c r="W57" s="2915"/>
      <c r="X57" s="2915"/>
      <c r="Y57" s="2915"/>
      <c r="Z57" s="2915"/>
      <c r="AA57" s="2915"/>
      <c r="AB57" s="2915"/>
      <c r="AC57" s="2915"/>
      <c r="AD57" s="2915"/>
      <c r="AE57" s="2915"/>
      <c r="AF57" s="2915"/>
      <c r="AG57" s="2915"/>
      <c r="AH57" s="2915"/>
      <c r="AI57" s="2915"/>
      <c r="AJ57" s="2916"/>
      <c r="AK57" s="859"/>
      <c r="AL57" s="856"/>
      <c r="AM57" s="856"/>
      <c r="AN57" s="852"/>
      <c r="AO57" s="866">
        <f>IF($B57="yes",10,0)</f>
        <v>0</v>
      </c>
    </row>
    <row r="58" spans="1:50" s="853" customFormat="1" ht="12.75" customHeight="1">
      <c r="A58" s="854"/>
      <c r="B58" s="856"/>
      <c r="C58" s="856"/>
      <c r="D58" s="867"/>
      <c r="E58" s="2917"/>
      <c r="F58" s="2918"/>
      <c r="G58" s="2918"/>
      <c r="H58" s="2918"/>
      <c r="I58" s="2918"/>
      <c r="J58" s="2918"/>
      <c r="K58" s="2918"/>
      <c r="L58" s="2918"/>
      <c r="M58" s="2918"/>
      <c r="N58" s="2918"/>
      <c r="O58" s="2918"/>
      <c r="P58" s="2918"/>
      <c r="Q58" s="2918"/>
      <c r="R58" s="2918"/>
      <c r="S58" s="2918"/>
      <c r="T58" s="2918"/>
      <c r="U58" s="2918"/>
      <c r="V58" s="2918"/>
      <c r="W58" s="2918"/>
      <c r="X58" s="2918"/>
      <c r="Y58" s="2918"/>
      <c r="Z58" s="2918"/>
      <c r="AA58" s="2918"/>
      <c r="AB58" s="2918"/>
      <c r="AC58" s="2918"/>
      <c r="AD58" s="2918"/>
      <c r="AE58" s="2918"/>
      <c r="AF58" s="2918"/>
      <c r="AG58" s="2918"/>
      <c r="AH58" s="2918"/>
      <c r="AI58" s="2918"/>
      <c r="AJ58" s="2919"/>
      <c r="AK58" s="859"/>
      <c r="AL58" s="856"/>
      <c r="AM58" s="856"/>
      <c r="AN58" s="852"/>
      <c r="AO58" s="866">
        <f>IF($B62="yes",10,0)</f>
        <v>10</v>
      </c>
    </row>
    <row r="59" spans="1:50" s="853" customFormat="1" ht="12.75" customHeight="1">
      <c r="A59" s="854"/>
      <c r="B59" s="856"/>
      <c r="C59" s="856"/>
      <c r="D59" s="867"/>
      <c r="E59" s="2917"/>
      <c r="F59" s="2918"/>
      <c r="G59" s="2918"/>
      <c r="H59" s="2918"/>
      <c r="I59" s="2918"/>
      <c r="J59" s="2918"/>
      <c r="K59" s="2918"/>
      <c r="L59" s="2918"/>
      <c r="M59" s="2918"/>
      <c r="N59" s="2918"/>
      <c r="O59" s="2918"/>
      <c r="P59" s="2918"/>
      <c r="Q59" s="2918"/>
      <c r="R59" s="2918"/>
      <c r="S59" s="2918"/>
      <c r="T59" s="2918"/>
      <c r="U59" s="2918"/>
      <c r="V59" s="2918"/>
      <c r="W59" s="2918"/>
      <c r="X59" s="2918"/>
      <c r="Y59" s="2918"/>
      <c r="Z59" s="2918"/>
      <c r="AA59" s="2918"/>
      <c r="AB59" s="2918"/>
      <c r="AC59" s="2918"/>
      <c r="AD59" s="2918"/>
      <c r="AE59" s="2918"/>
      <c r="AF59" s="2918"/>
      <c r="AG59" s="2918"/>
      <c r="AH59" s="2918"/>
      <c r="AI59" s="2918"/>
      <c r="AJ59" s="2919"/>
      <c r="AK59" s="859"/>
      <c r="AL59" s="856"/>
      <c r="AM59" s="856"/>
      <c r="AN59" s="852"/>
      <c r="AO59" s="866">
        <f>IF($B69="yes",10,0)</f>
        <v>0</v>
      </c>
    </row>
    <row r="60" spans="1:50" s="853" customFormat="1" ht="12.75" customHeight="1">
      <c r="A60" s="854"/>
      <c r="B60" s="856"/>
      <c r="C60" s="856"/>
      <c r="D60" s="867"/>
      <c r="E60" s="2920"/>
      <c r="F60" s="2921"/>
      <c r="G60" s="2921"/>
      <c r="H60" s="2921"/>
      <c r="I60" s="2921"/>
      <c r="J60" s="2921"/>
      <c r="K60" s="2921"/>
      <c r="L60" s="2921"/>
      <c r="M60" s="2921"/>
      <c r="N60" s="2921"/>
      <c r="O60" s="2921"/>
      <c r="P60" s="2921"/>
      <c r="Q60" s="2921"/>
      <c r="R60" s="2921"/>
      <c r="S60" s="2921"/>
      <c r="T60" s="2921"/>
      <c r="U60" s="2921"/>
      <c r="V60" s="2921"/>
      <c r="W60" s="2921"/>
      <c r="X60" s="2921"/>
      <c r="Y60" s="2921"/>
      <c r="Z60" s="2921"/>
      <c r="AA60" s="2921"/>
      <c r="AB60" s="2921"/>
      <c r="AC60" s="2921"/>
      <c r="AD60" s="2921"/>
      <c r="AE60" s="2921"/>
      <c r="AF60" s="2921"/>
      <c r="AG60" s="2921"/>
      <c r="AH60" s="2921"/>
      <c r="AI60" s="2921"/>
      <c r="AJ60" s="2922"/>
      <c r="AK60" s="859"/>
      <c r="AL60" s="856"/>
      <c r="AM60" s="856"/>
      <c r="AN60" s="852"/>
      <c r="AO60" s="853">
        <f>IF(SUM(AO57:AO59)&gt;10,10,(SUM(AO57:AO59)))</f>
        <v>10</v>
      </c>
      <c r="AP60" s="891" t="s">
        <v>1602</v>
      </c>
    </row>
    <row r="61" spans="1:50" s="853" customFormat="1" ht="12.75" customHeight="1">
      <c r="A61" s="854"/>
      <c r="B61" s="856"/>
      <c r="C61" s="856"/>
      <c r="E61" s="856"/>
      <c r="F61" s="856"/>
      <c r="G61" s="856"/>
      <c r="H61" s="856"/>
      <c r="I61" s="856"/>
      <c r="J61" s="856"/>
      <c r="K61" s="856"/>
      <c r="L61" s="856"/>
      <c r="M61" s="856"/>
      <c r="N61" s="856"/>
      <c r="O61" s="856"/>
      <c r="P61" s="856"/>
      <c r="Q61" s="856"/>
      <c r="R61" s="856"/>
      <c r="S61" s="856"/>
      <c r="T61" s="856"/>
      <c r="U61" s="856"/>
      <c r="V61" s="856"/>
      <c r="W61" s="856"/>
      <c r="X61" s="856"/>
      <c r="Y61" s="856"/>
      <c r="Z61" s="856"/>
      <c r="AA61" s="856"/>
      <c r="AB61" s="856"/>
      <c r="AC61" s="856"/>
      <c r="AD61" s="856"/>
      <c r="AE61" s="856"/>
      <c r="AF61" s="856"/>
      <c r="AG61" s="856"/>
      <c r="AH61" s="856"/>
      <c r="AI61" s="856"/>
      <c r="AJ61" s="856"/>
      <c r="AK61" s="859"/>
      <c r="AL61" s="856"/>
      <c r="AM61" s="856"/>
      <c r="AN61" s="852"/>
    </row>
    <row r="62" spans="1:50" s="853" customFormat="1" ht="12.75" customHeight="1">
      <c r="A62" s="854"/>
      <c r="B62" s="2890" t="s">
        <v>580</v>
      </c>
      <c r="C62" s="2890"/>
      <c r="D62" s="863" t="s">
        <v>1603</v>
      </c>
      <c r="E62" s="1612" t="s">
        <v>2241</v>
      </c>
      <c r="F62" s="1613"/>
      <c r="G62" s="1613"/>
      <c r="H62" s="1613"/>
      <c r="I62" s="1613"/>
      <c r="J62" s="1613"/>
      <c r="K62" s="1613"/>
      <c r="L62" s="1613"/>
      <c r="M62" s="1613"/>
      <c r="N62" s="1613"/>
      <c r="O62" s="1613"/>
      <c r="P62" s="1613"/>
      <c r="Q62" s="1613"/>
      <c r="R62" s="1613"/>
      <c r="S62" s="1613"/>
      <c r="T62" s="1613"/>
      <c r="U62" s="1613"/>
      <c r="V62" s="1613"/>
      <c r="W62" s="1613"/>
      <c r="X62" s="1613"/>
      <c r="Y62" s="1613"/>
      <c r="Z62" s="1613"/>
      <c r="AA62" s="1613"/>
      <c r="AB62" s="1613"/>
      <c r="AC62" s="1613"/>
      <c r="AD62" s="1613"/>
      <c r="AE62" s="1613"/>
      <c r="AF62" s="1613"/>
      <c r="AG62" s="1613"/>
      <c r="AH62" s="1613"/>
      <c r="AI62" s="1613"/>
      <c r="AJ62" s="1614"/>
      <c r="AK62" s="859"/>
      <c r="AL62" s="856"/>
      <c r="AM62" s="856"/>
      <c r="AN62" s="852"/>
    </row>
    <row r="63" spans="1:50" s="853" customFormat="1" ht="12.75" customHeight="1">
      <c r="A63" s="854"/>
      <c r="B63" s="856"/>
      <c r="C63" s="856"/>
      <c r="D63" s="866"/>
      <c r="E63" s="2930" t="s">
        <v>628</v>
      </c>
      <c r="F63" s="2890"/>
      <c r="G63" s="892"/>
      <c r="H63" s="1611" t="s">
        <v>1604</v>
      </c>
      <c r="I63" s="1514"/>
      <c r="J63" s="892"/>
      <c r="K63" s="892"/>
      <c r="L63" s="892"/>
      <c r="M63" s="892"/>
      <c r="N63" s="892"/>
      <c r="O63" s="892"/>
      <c r="P63" s="892"/>
      <c r="Q63" s="892"/>
      <c r="R63" s="892"/>
      <c r="S63" s="892"/>
      <c r="T63" s="892"/>
      <c r="U63" s="892"/>
      <c r="V63" s="892"/>
      <c r="W63" s="892"/>
      <c r="X63" s="892"/>
      <c r="Y63" s="892"/>
      <c r="Z63" s="892"/>
      <c r="AA63" s="892"/>
      <c r="AB63" s="892"/>
      <c r="AC63" s="892"/>
      <c r="AD63" s="892"/>
      <c r="AE63" s="892"/>
      <c r="AF63" s="892"/>
      <c r="AG63" s="892"/>
      <c r="AH63" s="892"/>
      <c r="AI63" s="892"/>
      <c r="AJ63" s="1615"/>
      <c r="AK63" s="859"/>
      <c r="AL63" s="856"/>
      <c r="AM63" s="856"/>
      <c r="AN63" s="852"/>
    </row>
    <row r="64" spans="1:50" s="853" customFormat="1" ht="12.75" customHeight="1">
      <c r="A64" s="854"/>
      <c r="B64" s="856"/>
      <c r="C64" s="856"/>
      <c r="D64" s="866"/>
      <c r="E64" s="2936" t="s">
        <v>628</v>
      </c>
      <c r="F64" s="2937"/>
      <c r="G64" s="892"/>
      <c r="H64" s="1611" t="s">
        <v>1605</v>
      </c>
      <c r="I64" s="892"/>
      <c r="J64" s="892"/>
      <c r="K64" s="892"/>
      <c r="L64" s="892"/>
      <c r="M64" s="892"/>
      <c r="N64" s="892"/>
      <c r="O64" s="892"/>
      <c r="P64" s="892"/>
      <c r="Q64" s="892"/>
      <c r="R64" s="892"/>
      <c r="S64" s="892"/>
      <c r="T64" s="892"/>
      <c r="U64" s="892"/>
      <c r="V64" s="892"/>
      <c r="W64" s="892"/>
      <c r="X64" s="892"/>
      <c r="Y64" s="892"/>
      <c r="Z64" s="892"/>
      <c r="AA64" s="892"/>
      <c r="AB64" s="892"/>
      <c r="AC64" s="892"/>
      <c r="AD64" s="892"/>
      <c r="AE64" s="892"/>
      <c r="AF64" s="892"/>
      <c r="AG64" s="892"/>
      <c r="AH64" s="892"/>
      <c r="AI64" s="892"/>
      <c r="AJ64" s="1615"/>
      <c r="AK64" s="859"/>
      <c r="AL64" s="856"/>
      <c r="AM64" s="856"/>
      <c r="AN64" s="852"/>
    </row>
    <row r="65" spans="1:40" s="853" customFormat="1" ht="12.75" customHeight="1">
      <c r="A65" s="854"/>
      <c r="B65" s="856"/>
      <c r="C65" s="856"/>
      <c r="D65" s="866"/>
      <c r="E65" s="2936" t="s">
        <v>580</v>
      </c>
      <c r="F65" s="2937"/>
      <c r="G65" s="892"/>
      <c r="H65" s="1611" t="s">
        <v>2256</v>
      </c>
      <c r="I65" s="892"/>
      <c r="J65" s="892"/>
      <c r="K65" s="892"/>
      <c r="L65" s="892"/>
      <c r="M65" s="892"/>
      <c r="N65" s="892"/>
      <c r="O65" s="892"/>
      <c r="P65" s="892"/>
      <c r="Q65" s="892"/>
      <c r="R65" s="892"/>
      <c r="S65" s="892"/>
      <c r="T65" s="892"/>
      <c r="U65" s="892"/>
      <c r="V65" s="892"/>
      <c r="W65" s="892"/>
      <c r="X65" s="892"/>
      <c r="Y65" s="892"/>
      <c r="Z65" s="892"/>
      <c r="AA65" s="892"/>
      <c r="AB65" s="892"/>
      <c r="AC65" s="892"/>
      <c r="AD65" s="892"/>
      <c r="AE65" s="892"/>
      <c r="AF65" s="892"/>
      <c r="AG65" s="892"/>
      <c r="AH65" s="892"/>
      <c r="AI65" s="892"/>
      <c r="AJ65" s="1615"/>
      <c r="AK65" s="859"/>
      <c r="AL65" s="856"/>
      <c r="AM65" s="856"/>
      <c r="AN65" s="852"/>
    </row>
    <row r="66" spans="1:40" s="853" customFormat="1" ht="12.75" customHeight="1">
      <c r="A66" s="854"/>
      <c r="B66" s="856"/>
      <c r="C66" s="856"/>
      <c r="D66" s="866"/>
      <c r="E66" s="1021"/>
      <c r="F66" s="892"/>
      <c r="G66" s="892"/>
      <c r="H66" s="892"/>
      <c r="I66" s="892"/>
      <c r="J66" s="892"/>
      <c r="K66" s="892"/>
      <c r="L66" s="892"/>
      <c r="M66" s="892"/>
      <c r="N66" s="892"/>
      <c r="O66" s="892"/>
      <c r="P66" s="892"/>
      <c r="Q66" s="892"/>
      <c r="R66" s="892"/>
      <c r="S66" s="892"/>
      <c r="T66" s="892"/>
      <c r="U66" s="892"/>
      <c r="V66" s="892"/>
      <c r="W66" s="892"/>
      <c r="X66" s="892"/>
      <c r="Y66" s="892"/>
      <c r="Z66" s="892"/>
      <c r="AA66" s="892"/>
      <c r="AB66" s="892"/>
      <c r="AC66" s="892"/>
      <c r="AD66" s="892"/>
      <c r="AE66" s="892"/>
      <c r="AF66" s="892"/>
      <c r="AG66" s="892"/>
      <c r="AH66" s="892"/>
      <c r="AI66" s="892"/>
      <c r="AJ66" s="1615"/>
      <c r="AK66" s="1515"/>
      <c r="AL66" s="856"/>
      <c r="AM66" s="856"/>
      <c r="AN66" s="852"/>
    </row>
    <row r="67" spans="1:40" s="853" customFormat="1" ht="12.75" customHeight="1">
      <c r="A67" s="854"/>
      <c r="B67" s="856"/>
      <c r="C67" s="856"/>
      <c r="D67" s="866"/>
      <c r="E67" s="2930" t="s">
        <v>580</v>
      </c>
      <c r="F67" s="2890"/>
      <c r="G67" s="1512"/>
      <c r="H67" s="1621" t="s">
        <v>2255</v>
      </c>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3"/>
      <c r="AK67" s="1515"/>
      <c r="AL67" s="856"/>
      <c r="AM67" s="856"/>
      <c r="AN67" s="852"/>
    </row>
    <row r="68" spans="1:40" s="853" customFormat="1" ht="12.75" customHeight="1">
      <c r="A68" s="854"/>
      <c r="B68" s="856"/>
      <c r="C68" s="856"/>
      <c r="D68" s="867"/>
      <c r="E68" s="856"/>
      <c r="F68" s="856"/>
      <c r="G68" s="856"/>
      <c r="H68" s="856"/>
      <c r="I68" s="856"/>
      <c r="J68" s="856"/>
      <c r="K68" s="856"/>
      <c r="L68" s="856"/>
      <c r="M68" s="856"/>
      <c r="N68" s="856"/>
      <c r="O68" s="856"/>
      <c r="P68" s="856"/>
      <c r="Q68" s="856"/>
      <c r="R68" s="856"/>
      <c r="S68" s="856"/>
      <c r="T68" s="856"/>
      <c r="U68" s="856"/>
      <c r="V68" s="856"/>
      <c r="W68" s="856"/>
      <c r="X68" s="856"/>
      <c r="Y68" s="856"/>
      <c r="Z68" s="856"/>
      <c r="AA68" s="856"/>
      <c r="AB68" s="856"/>
      <c r="AC68" s="856"/>
      <c r="AD68" s="856"/>
      <c r="AE68" s="856"/>
      <c r="AF68" s="856"/>
      <c r="AG68" s="856"/>
      <c r="AH68" s="856"/>
      <c r="AI68" s="856"/>
      <c r="AJ68" s="856"/>
      <c r="AK68" s="859"/>
      <c r="AL68" s="856"/>
      <c r="AM68" s="856"/>
      <c r="AN68" s="852"/>
    </row>
    <row r="69" spans="1:40" s="853" customFormat="1" ht="12.75" customHeight="1">
      <c r="A69" s="854"/>
      <c r="B69" s="2890" t="s">
        <v>628</v>
      </c>
      <c r="C69" s="2890"/>
      <c r="D69" s="863" t="s">
        <v>1606</v>
      </c>
      <c r="E69" s="2905" t="s">
        <v>2258</v>
      </c>
      <c r="F69" s="2906"/>
      <c r="G69" s="2906"/>
      <c r="H69" s="2906"/>
      <c r="I69" s="2906"/>
      <c r="J69" s="2906"/>
      <c r="K69" s="2906"/>
      <c r="L69" s="2906"/>
      <c r="M69" s="2906"/>
      <c r="N69" s="2906"/>
      <c r="O69" s="2906"/>
      <c r="P69" s="2906"/>
      <c r="Q69" s="2906"/>
      <c r="R69" s="2906"/>
      <c r="S69" s="2906"/>
      <c r="T69" s="2906"/>
      <c r="U69" s="2906"/>
      <c r="V69" s="2906"/>
      <c r="W69" s="2906"/>
      <c r="X69" s="2906"/>
      <c r="Y69" s="2906"/>
      <c r="Z69" s="2906"/>
      <c r="AA69" s="2906"/>
      <c r="AB69" s="2906"/>
      <c r="AC69" s="2906"/>
      <c r="AD69" s="2906"/>
      <c r="AE69" s="2906"/>
      <c r="AF69" s="2906"/>
      <c r="AG69" s="2906"/>
      <c r="AH69" s="2906"/>
      <c r="AI69" s="2906"/>
      <c r="AJ69" s="2907"/>
      <c r="AK69" s="859"/>
      <c r="AL69" s="856"/>
      <c r="AM69" s="856"/>
      <c r="AN69" s="852"/>
    </row>
    <row r="70" spans="1:40" s="853" customFormat="1" ht="12.75" customHeight="1">
      <c r="A70" s="854"/>
      <c r="B70" s="856"/>
      <c r="C70" s="856"/>
      <c r="D70" s="866"/>
      <c r="E70" s="2908"/>
      <c r="F70" s="2909"/>
      <c r="G70" s="2909"/>
      <c r="H70" s="2909"/>
      <c r="I70" s="2909"/>
      <c r="J70" s="2909"/>
      <c r="K70" s="2909"/>
      <c r="L70" s="2909"/>
      <c r="M70" s="2909"/>
      <c r="N70" s="2909"/>
      <c r="O70" s="2909"/>
      <c r="P70" s="2909"/>
      <c r="Q70" s="2909"/>
      <c r="R70" s="2909"/>
      <c r="S70" s="2909"/>
      <c r="T70" s="2909"/>
      <c r="U70" s="2909"/>
      <c r="V70" s="2909"/>
      <c r="W70" s="2909"/>
      <c r="X70" s="2909"/>
      <c r="Y70" s="2909"/>
      <c r="Z70" s="2909"/>
      <c r="AA70" s="2909"/>
      <c r="AB70" s="2909"/>
      <c r="AC70" s="2909"/>
      <c r="AD70" s="2909"/>
      <c r="AE70" s="2909"/>
      <c r="AF70" s="2909"/>
      <c r="AG70" s="2909"/>
      <c r="AH70" s="2909"/>
      <c r="AI70" s="2909"/>
      <c r="AJ70" s="2910"/>
      <c r="AK70" s="859"/>
      <c r="AL70" s="856"/>
      <c r="AM70" s="856"/>
      <c r="AN70" s="852"/>
    </row>
    <row r="71" spans="1:40" s="853" customFormat="1" ht="12.75" customHeight="1">
      <c r="A71" s="854"/>
      <c r="B71" s="856"/>
      <c r="C71" s="856"/>
      <c r="D71" s="866"/>
      <c r="E71" s="856"/>
      <c r="F71" s="856"/>
      <c r="G71" s="856"/>
      <c r="H71" s="856"/>
      <c r="I71" s="856"/>
      <c r="J71" s="856"/>
      <c r="K71" s="856"/>
      <c r="L71" s="856"/>
      <c r="M71" s="856"/>
      <c r="N71" s="856"/>
      <c r="O71" s="856"/>
      <c r="P71" s="856"/>
      <c r="Q71" s="856"/>
      <c r="R71" s="856"/>
      <c r="S71" s="856"/>
      <c r="T71" s="856"/>
      <c r="U71" s="856"/>
      <c r="V71" s="856"/>
      <c r="W71" s="856"/>
      <c r="X71" s="856"/>
      <c r="Y71" s="856"/>
      <c r="Z71" s="856"/>
      <c r="AA71" s="856"/>
      <c r="AB71" s="856"/>
      <c r="AC71" s="856"/>
      <c r="AD71" s="856"/>
      <c r="AE71" s="856"/>
      <c r="AF71" s="856"/>
      <c r="AG71" s="856"/>
      <c r="AH71" s="856"/>
      <c r="AI71" s="856"/>
      <c r="AJ71" s="856"/>
      <c r="AK71" s="859"/>
      <c r="AL71" s="856"/>
      <c r="AM71" s="856"/>
      <c r="AN71" s="852"/>
    </row>
    <row r="72" spans="1:40" s="853" customFormat="1" ht="12.75" customHeight="1">
      <c r="A72" s="878"/>
      <c r="B72" s="879"/>
      <c r="C72" s="879"/>
      <c r="D72" s="879"/>
      <c r="E72" s="879"/>
      <c r="F72" s="879"/>
      <c r="G72" s="880"/>
      <c r="H72" s="881"/>
      <c r="I72" s="881"/>
      <c r="J72" s="881"/>
      <c r="K72" s="881"/>
      <c r="L72" s="881"/>
      <c r="M72" s="881"/>
      <c r="N72" s="881"/>
      <c r="O72" s="881"/>
      <c r="P72" s="881"/>
      <c r="Q72" s="881"/>
      <c r="R72" s="881"/>
      <c r="S72" s="881"/>
      <c r="T72" s="881"/>
      <c r="U72" s="881"/>
      <c r="V72" s="881"/>
      <c r="W72" s="881"/>
      <c r="X72" s="881"/>
      <c r="Y72" s="881"/>
      <c r="Z72" s="881"/>
      <c r="AA72" s="881"/>
      <c r="AB72" s="881"/>
      <c r="AC72" s="881"/>
      <c r="AD72" s="881"/>
      <c r="AE72" s="881"/>
      <c r="AF72" s="881"/>
      <c r="AG72" s="881"/>
      <c r="AH72" s="881"/>
      <c r="AI72" s="882"/>
      <c r="AJ72" s="882" t="s">
        <v>1607</v>
      </c>
      <c r="AK72" s="2923">
        <f>IF(AK51&gt;0,0,AO60)</f>
        <v>10</v>
      </c>
      <c r="AL72" s="2924"/>
      <c r="AM72" s="2925"/>
      <c r="AN72" s="852"/>
    </row>
    <row r="73" spans="1:40" s="853" customFormat="1" ht="12.75" customHeight="1" thickBot="1">
      <c r="A73" s="883"/>
      <c r="B73" s="884"/>
      <c r="C73" s="885"/>
      <c r="D73" s="885"/>
      <c r="E73" s="885"/>
      <c r="F73" s="885"/>
      <c r="G73" s="885"/>
      <c r="H73" s="885"/>
      <c r="I73" s="885"/>
      <c r="J73" s="885"/>
      <c r="K73" s="885"/>
      <c r="L73" s="885"/>
      <c r="M73" s="885"/>
      <c r="N73" s="885"/>
      <c r="O73" s="885"/>
      <c r="P73" s="885"/>
      <c r="Q73" s="885"/>
      <c r="R73" s="885"/>
      <c r="S73" s="885"/>
      <c r="T73" s="885"/>
      <c r="U73" s="885"/>
      <c r="V73" s="885"/>
      <c r="W73" s="885"/>
      <c r="X73" s="885"/>
      <c r="Y73" s="885"/>
      <c r="Z73" s="885"/>
      <c r="AA73" s="885"/>
      <c r="AB73" s="885"/>
      <c r="AC73" s="885"/>
      <c r="AD73" s="885"/>
      <c r="AE73" s="885"/>
      <c r="AF73" s="885"/>
      <c r="AG73" s="885"/>
      <c r="AH73" s="885"/>
      <c r="AI73" s="885"/>
      <c r="AJ73" s="885"/>
      <c r="AK73" s="885"/>
      <c r="AL73" s="885"/>
      <c r="AM73" s="886"/>
      <c r="AN73" s="852"/>
    </row>
    <row r="74" spans="1:40" s="853" customFormat="1" ht="12.75" customHeight="1" thickTop="1">
      <c r="A74" s="887"/>
      <c r="B74" s="888"/>
      <c r="C74" s="889"/>
      <c r="D74" s="889"/>
      <c r="E74" s="889"/>
      <c r="F74" s="889"/>
      <c r="G74" s="889"/>
      <c r="H74" s="889"/>
      <c r="I74" s="890"/>
      <c r="J74" s="890"/>
      <c r="K74" s="890"/>
      <c r="L74" s="890"/>
      <c r="M74" s="890"/>
      <c r="N74" s="890"/>
      <c r="O74" s="890"/>
      <c r="P74" s="890"/>
      <c r="Q74" s="890"/>
      <c r="R74" s="887"/>
      <c r="S74" s="855"/>
      <c r="T74" s="855"/>
      <c r="U74" s="855"/>
      <c r="V74" s="855"/>
      <c r="W74" s="855"/>
      <c r="X74" s="855"/>
      <c r="Y74" s="855"/>
      <c r="Z74" s="855"/>
      <c r="AA74" s="855"/>
      <c r="AB74" s="855"/>
      <c r="AC74" s="855"/>
      <c r="AD74" s="855"/>
      <c r="AE74" s="855"/>
      <c r="AF74" s="887"/>
      <c r="AG74" s="855"/>
      <c r="AH74" s="855"/>
      <c r="AI74" s="855"/>
      <c r="AJ74" s="855"/>
      <c r="AK74" s="866"/>
      <c r="AL74" s="866"/>
      <c r="AM74" s="866"/>
      <c r="AN74" s="852"/>
    </row>
    <row r="75" spans="1:40" s="853" customFormat="1" ht="12.75" customHeight="1">
      <c r="A75" s="854" t="s">
        <v>1608</v>
      </c>
      <c r="B75" s="855" t="s">
        <v>1609</v>
      </c>
      <c r="C75" s="855"/>
      <c r="D75" s="855"/>
      <c r="E75" s="855"/>
      <c r="F75" s="855"/>
      <c r="G75" s="855"/>
      <c r="H75" s="855"/>
      <c r="I75" s="855"/>
      <c r="J75" s="855"/>
      <c r="K75" s="855"/>
      <c r="L75" s="855"/>
      <c r="M75" s="855"/>
      <c r="N75" s="855"/>
      <c r="O75" s="855"/>
      <c r="P75" s="855"/>
      <c r="Q75" s="855"/>
      <c r="R75" s="855"/>
      <c r="S75" s="855"/>
      <c r="T75" s="855"/>
      <c r="U75" s="855"/>
      <c r="V75" s="855"/>
      <c r="W75" s="855"/>
      <c r="X75" s="855"/>
      <c r="Y75" s="855"/>
      <c r="Z75" s="855"/>
      <c r="AA75" s="855"/>
      <c r="AB75" s="855"/>
      <c r="AC75" s="855"/>
      <c r="AD75" s="855"/>
      <c r="AE75" s="2891" t="s">
        <v>1578</v>
      </c>
      <c r="AF75" s="2891"/>
      <c r="AG75" s="2891"/>
      <c r="AH75" s="2891"/>
      <c r="AI75" s="2891"/>
      <c r="AJ75" s="2891"/>
      <c r="AK75" s="2891"/>
      <c r="AL75" s="856"/>
      <c r="AM75" s="856"/>
      <c r="AN75" s="852"/>
    </row>
    <row r="76" spans="1:40" s="853" customFormat="1" ht="12.75" customHeight="1">
      <c r="A76" s="854"/>
      <c r="B76" s="855" t="s">
        <v>1610</v>
      </c>
      <c r="C76" s="855"/>
      <c r="D76" s="855"/>
      <c r="E76" s="855"/>
      <c r="F76" s="855"/>
      <c r="G76" s="855"/>
      <c r="H76" s="855"/>
      <c r="I76" s="855"/>
      <c r="J76" s="855"/>
      <c r="K76" s="855"/>
      <c r="L76" s="855"/>
      <c r="M76" s="855"/>
      <c r="N76" s="855"/>
      <c r="O76" s="855"/>
      <c r="P76" s="855"/>
      <c r="Q76" s="855"/>
      <c r="R76" s="855"/>
      <c r="S76" s="855"/>
      <c r="T76" s="855"/>
      <c r="U76" s="855"/>
      <c r="V76" s="855"/>
      <c r="W76" s="855"/>
      <c r="X76" s="855"/>
      <c r="Y76" s="855"/>
      <c r="Z76" s="855"/>
      <c r="AA76" s="855"/>
      <c r="AB76" s="855"/>
      <c r="AC76" s="855"/>
      <c r="AD76" s="855"/>
      <c r="AE76" s="859"/>
      <c r="AF76" s="859"/>
      <c r="AG76" s="859"/>
      <c r="AH76" s="859"/>
      <c r="AI76" s="859"/>
      <c r="AJ76" s="859"/>
      <c r="AK76" s="859"/>
      <c r="AL76" s="856"/>
      <c r="AM76" s="856"/>
      <c r="AN76" s="852"/>
    </row>
    <row r="77" spans="1:40" s="853" customFormat="1" ht="12.75" customHeight="1">
      <c r="A77" s="854"/>
      <c r="B77" s="855"/>
      <c r="C77" s="855"/>
      <c r="D77" s="855"/>
      <c r="E77" s="855"/>
      <c r="F77" s="855"/>
      <c r="G77" s="855"/>
      <c r="H77" s="855"/>
      <c r="I77" s="855"/>
      <c r="J77" s="855"/>
      <c r="K77" s="855"/>
      <c r="L77" s="855"/>
      <c r="M77" s="855"/>
      <c r="N77" s="855"/>
      <c r="O77" s="855"/>
      <c r="P77" s="855"/>
      <c r="Q77" s="855"/>
      <c r="R77" s="855"/>
      <c r="S77" s="855"/>
      <c r="T77" s="855"/>
      <c r="U77" s="855"/>
      <c r="V77" s="855"/>
      <c r="W77" s="855"/>
      <c r="X77" s="855"/>
      <c r="Y77" s="855"/>
      <c r="Z77" s="855"/>
      <c r="AA77" s="855"/>
      <c r="AB77" s="855"/>
      <c r="AC77" s="855"/>
      <c r="AD77" s="855"/>
      <c r="AE77" s="859"/>
      <c r="AF77" s="859"/>
      <c r="AG77" s="859"/>
      <c r="AH77" s="859"/>
      <c r="AI77" s="859"/>
      <c r="AJ77" s="859"/>
      <c r="AK77" s="859"/>
      <c r="AL77" s="856"/>
      <c r="AM77" s="856"/>
      <c r="AN77" s="852"/>
    </row>
    <row r="78" spans="1:40" s="853" customFormat="1" ht="12.75" customHeight="1">
      <c r="A78" s="854"/>
      <c r="B78" s="2890" t="s">
        <v>628</v>
      </c>
      <c r="C78" s="2890"/>
      <c r="D78" s="863" t="s">
        <v>1601</v>
      </c>
      <c r="E78" s="2884" t="s">
        <v>1611</v>
      </c>
      <c r="F78" s="2885"/>
      <c r="G78" s="2885"/>
      <c r="H78" s="2885"/>
      <c r="I78" s="2885"/>
      <c r="J78" s="2885"/>
      <c r="K78" s="2885"/>
      <c r="L78" s="2885"/>
      <c r="M78" s="2885"/>
      <c r="N78" s="2885"/>
      <c r="O78" s="2885"/>
      <c r="P78" s="2885"/>
      <c r="Q78" s="2885"/>
      <c r="R78" s="2885"/>
      <c r="S78" s="2885"/>
      <c r="T78" s="2885"/>
      <c r="U78" s="2885"/>
      <c r="V78" s="2885"/>
      <c r="W78" s="2885"/>
      <c r="X78" s="2885"/>
      <c r="Y78" s="2885"/>
      <c r="Z78" s="2885"/>
      <c r="AA78" s="2885"/>
      <c r="AB78" s="2885"/>
      <c r="AC78" s="2885"/>
      <c r="AD78" s="2885"/>
      <c r="AE78" s="2885"/>
      <c r="AF78" s="2885"/>
      <c r="AG78" s="2885"/>
      <c r="AH78" s="2885"/>
      <c r="AI78" s="2885"/>
      <c r="AJ78" s="2886"/>
      <c r="AK78" s="859"/>
      <c r="AL78" s="856"/>
      <c r="AM78" s="856"/>
      <c r="AN78" s="852"/>
    </row>
    <row r="79" spans="1:40" s="853" customFormat="1" ht="12.75" customHeight="1">
      <c r="A79" s="854"/>
      <c r="B79" s="855"/>
      <c r="C79" s="855"/>
      <c r="D79" s="855"/>
      <c r="E79" s="2887"/>
      <c r="F79" s="2888"/>
      <c r="G79" s="2888"/>
      <c r="H79" s="2888"/>
      <c r="I79" s="2888"/>
      <c r="J79" s="2888"/>
      <c r="K79" s="2888"/>
      <c r="L79" s="2888"/>
      <c r="M79" s="2888"/>
      <c r="N79" s="2888"/>
      <c r="O79" s="2888"/>
      <c r="P79" s="2888"/>
      <c r="Q79" s="2888"/>
      <c r="R79" s="2888"/>
      <c r="S79" s="2888"/>
      <c r="T79" s="2888"/>
      <c r="U79" s="2888"/>
      <c r="V79" s="2888"/>
      <c r="W79" s="2888"/>
      <c r="X79" s="2888"/>
      <c r="Y79" s="2888"/>
      <c r="Z79" s="2888"/>
      <c r="AA79" s="2888"/>
      <c r="AB79" s="2888"/>
      <c r="AC79" s="2888"/>
      <c r="AD79" s="2888"/>
      <c r="AE79" s="2888"/>
      <c r="AF79" s="2888"/>
      <c r="AG79" s="2888"/>
      <c r="AH79" s="2888"/>
      <c r="AI79" s="2888"/>
      <c r="AJ79" s="2889"/>
      <c r="AK79" s="859"/>
      <c r="AL79" s="856"/>
      <c r="AM79" s="856"/>
      <c r="AN79" s="852"/>
    </row>
    <row r="80" spans="1:40" s="853" customFormat="1" ht="12.75" customHeight="1">
      <c r="A80" s="854"/>
      <c r="B80" s="855"/>
      <c r="C80" s="855"/>
      <c r="D80" s="855"/>
      <c r="E80" s="893"/>
      <c r="F80" s="894"/>
      <c r="G80" s="894"/>
      <c r="H80" s="894"/>
      <c r="I80" s="894"/>
      <c r="J80" s="894"/>
      <c r="K80" s="894"/>
      <c r="L80" s="894"/>
      <c r="M80" s="894"/>
      <c r="N80" s="894"/>
      <c r="O80" s="894"/>
      <c r="P80" s="894"/>
      <c r="Q80" s="894"/>
      <c r="R80" s="894"/>
      <c r="S80" s="894"/>
      <c r="T80" s="894"/>
      <c r="U80" s="894"/>
      <c r="V80" s="894"/>
      <c r="W80" s="894"/>
      <c r="X80" s="894"/>
      <c r="Y80" s="894"/>
      <c r="Z80" s="895"/>
      <c r="AA80" s="895"/>
      <c r="AB80" s="895"/>
      <c r="AC80" s="894"/>
      <c r="AD80" s="894"/>
      <c r="AE80" s="894"/>
      <c r="AF80" s="894"/>
      <c r="AG80" s="894"/>
      <c r="AH80" s="894"/>
      <c r="AI80" s="894"/>
      <c r="AJ80" s="896"/>
      <c r="AK80" s="859"/>
      <c r="AL80" s="856"/>
      <c r="AM80" s="856"/>
      <c r="AN80" s="852"/>
    </row>
    <row r="81" spans="1:47" s="853" customFormat="1" ht="12.75" customHeight="1">
      <c r="A81" s="854"/>
      <c r="B81" s="855"/>
      <c r="C81" s="855"/>
      <c r="D81" s="855"/>
      <c r="E81" s="2926">
        <f>Application!AH753</f>
        <v>0.58000000000000007</v>
      </c>
      <c r="F81" s="2927"/>
      <c r="G81" s="2927"/>
      <c r="H81" s="2927"/>
      <c r="I81" s="894"/>
      <c r="J81" s="897" t="s">
        <v>1612</v>
      </c>
      <c r="K81" s="894"/>
      <c r="L81" s="894"/>
      <c r="M81" s="894"/>
      <c r="N81" s="894"/>
      <c r="O81" s="894"/>
      <c r="P81" s="894"/>
      <c r="Q81" s="894"/>
      <c r="R81" s="894"/>
      <c r="S81" s="894"/>
      <c r="T81" s="894"/>
      <c r="U81" s="894"/>
      <c r="V81" s="894"/>
      <c r="W81" s="894"/>
      <c r="X81" s="894"/>
      <c r="Y81" s="894"/>
      <c r="Z81" s="898"/>
      <c r="AA81" s="898"/>
      <c r="AB81" s="898"/>
      <c r="AC81" s="894"/>
      <c r="AD81" s="894"/>
      <c r="AE81" s="894"/>
      <c r="AF81" s="894"/>
      <c r="AG81" s="894"/>
      <c r="AH81" s="894"/>
      <c r="AI81" s="894"/>
      <c r="AJ81" s="896"/>
      <c r="AK81" s="859"/>
      <c r="AL81" s="856"/>
      <c r="AM81" s="856"/>
      <c r="AN81" s="852"/>
    </row>
    <row r="82" spans="1:47" s="853" customFormat="1" ht="12.75" customHeight="1">
      <c r="A82" s="854"/>
      <c r="B82" s="855"/>
      <c r="C82" s="855"/>
      <c r="D82" s="855"/>
      <c r="E82" s="2928">
        <f>0.6-ROUNDUP(E81,2)</f>
        <v>2.0000000000000018E-2</v>
      </c>
      <c r="F82" s="2929"/>
      <c r="G82" s="2929"/>
      <c r="H82" s="2929"/>
      <c r="I82" s="894"/>
      <c r="J82" s="897" t="s">
        <v>1613</v>
      </c>
      <c r="K82" s="894"/>
      <c r="L82" s="894"/>
      <c r="M82" s="894"/>
      <c r="N82" s="894"/>
      <c r="O82" s="894"/>
      <c r="P82" s="894"/>
      <c r="Q82" s="894"/>
      <c r="R82" s="894"/>
      <c r="S82" s="894"/>
      <c r="T82" s="894"/>
      <c r="U82" s="894"/>
      <c r="V82" s="894"/>
      <c r="W82" s="894"/>
      <c r="X82" s="894"/>
      <c r="Y82" s="894"/>
      <c r="Z82" s="894"/>
      <c r="AA82" s="894"/>
      <c r="AB82" s="894"/>
      <c r="AC82" s="894"/>
      <c r="AD82" s="894"/>
      <c r="AE82" s="894"/>
      <c r="AF82" s="894"/>
      <c r="AG82" s="894"/>
      <c r="AH82" s="894"/>
      <c r="AI82" s="894"/>
      <c r="AJ82" s="896"/>
      <c r="AK82" s="859"/>
      <c r="AL82" s="856"/>
      <c r="AM82" s="856"/>
      <c r="AN82" s="852"/>
    </row>
    <row r="83" spans="1:47" s="853" customFormat="1" ht="12.75" customHeight="1">
      <c r="A83" s="854"/>
      <c r="B83" s="855"/>
      <c r="C83" s="855"/>
      <c r="D83" s="855"/>
      <c r="E83" s="2938">
        <f>IF(E82*200&gt;20,20,E82*200)</f>
        <v>4.0000000000000036</v>
      </c>
      <c r="F83" s="2939"/>
      <c r="G83" s="2939"/>
      <c r="H83" s="2939"/>
      <c r="I83" s="894"/>
      <c r="J83" s="897" t="s">
        <v>1614</v>
      </c>
      <c r="K83" s="894"/>
      <c r="L83" s="894"/>
      <c r="M83" s="894"/>
      <c r="N83" s="894"/>
      <c r="O83" s="894"/>
      <c r="P83" s="894"/>
      <c r="Q83" s="894"/>
      <c r="R83" s="894"/>
      <c r="S83" s="894"/>
      <c r="T83" s="894"/>
      <c r="U83" s="894"/>
      <c r="V83" s="894"/>
      <c r="W83" s="894"/>
      <c r="X83" s="894"/>
      <c r="Y83" s="894"/>
      <c r="Z83" s="894"/>
      <c r="AA83" s="894"/>
      <c r="AB83" s="894"/>
      <c r="AC83" s="894"/>
      <c r="AD83" s="894"/>
      <c r="AE83" s="894"/>
      <c r="AF83" s="894"/>
      <c r="AG83" s="894"/>
      <c r="AH83" s="894"/>
      <c r="AI83" s="894"/>
      <c r="AJ83" s="896"/>
      <c r="AK83" s="859"/>
      <c r="AL83" s="856"/>
      <c r="AM83" s="856"/>
      <c r="AN83" s="852"/>
      <c r="AP83" s="853">
        <f>IF(B78="yes",E83,0)</f>
        <v>0</v>
      </c>
      <c r="AQ83" s="853" t="s">
        <v>1582</v>
      </c>
    </row>
    <row r="84" spans="1:47" s="853" customFormat="1" ht="12.75" customHeight="1">
      <c r="A84" s="854"/>
      <c r="B84" s="855"/>
      <c r="C84" s="855"/>
      <c r="D84" s="855"/>
      <c r="E84" s="899"/>
      <c r="F84" s="900"/>
      <c r="G84" s="900"/>
      <c r="H84" s="900"/>
      <c r="I84" s="900"/>
      <c r="J84" s="900"/>
      <c r="K84" s="900"/>
      <c r="L84" s="900"/>
      <c r="M84" s="900"/>
      <c r="N84" s="900"/>
      <c r="O84" s="900"/>
      <c r="P84" s="900"/>
      <c r="Q84" s="900"/>
      <c r="R84" s="900"/>
      <c r="S84" s="900"/>
      <c r="T84" s="900"/>
      <c r="U84" s="900"/>
      <c r="V84" s="900"/>
      <c r="W84" s="900"/>
      <c r="X84" s="900"/>
      <c r="Y84" s="900"/>
      <c r="Z84" s="900"/>
      <c r="AA84" s="900"/>
      <c r="AB84" s="900"/>
      <c r="AC84" s="900"/>
      <c r="AD84" s="900"/>
      <c r="AE84" s="901"/>
      <c r="AF84" s="901"/>
      <c r="AG84" s="901"/>
      <c r="AH84" s="901"/>
      <c r="AI84" s="901"/>
      <c r="AJ84" s="902"/>
      <c r="AK84" s="859"/>
      <c r="AL84" s="856"/>
      <c r="AM84" s="856"/>
      <c r="AN84" s="852"/>
    </row>
    <row r="85" spans="1:47" s="853" customFormat="1" ht="12.75" customHeight="1">
      <c r="A85" s="854"/>
      <c r="B85" s="855"/>
      <c r="C85" s="855"/>
      <c r="D85" s="855"/>
      <c r="E85" s="855"/>
      <c r="F85" s="855"/>
      <c r="G85" s="855"/>
      <c r="H85" s="855"/>
      <c r="I85" s="855"/>
      <c r="J85" s="855"/>
      <c r="K85" s="855"/>
      <c r="L85" s="855"/>
      <c r="M85" s="855"/>
      <c r="N85" s="855"/>
      <c r="O85" s="855"/>
      <c r="P85" s="855"/>
      <c r="Q85" s="855"/>
      <c r="R85" s="855"/>
      <c r="S85" s="855"/>
      <c r="T85" s="855"/>
      <c r="U85" s="855"/>
      <c r="V85" s="855"/>
      <c r="W85" s="855"/>
      <c r="X85" s="855"/>
      <c r="Y85" s="855"/>
      <c r="Z85" s="855"/>
      <c r="AA85" s="855"/>
      <c r="AB85" s="855"/>
      <c r="AC85" s="855"/>
      <c r="AD85" s="855"/>
      <c r="AE85" s="859"/>
      <c r="AF85" s="859"/>
      <c r="AG85" s="859"/>
      <c r="AH85" s="859"/>
      <c r="AI85" s="859"/>
      <c r="AJ85" s="859"/>
      <c r="AK85" s="859"/>
      <c r="AL85" s="856"/>
      <c r="AM85" s="856"/>
      <c r="AN85" s="852"/>
    </row>
    <row r="86" spans="1:47" s="853" customFormat="1" ht="12.75" customHeight="1">
      <c r="A86" s="854"/>
      <c r="B86" s="2890" t="s">
        <v>580</v>
      </c>
      <c r="C86" s="2890"/>
      <c r="D86" s="863" t="s">
        <v>1603</v>
      </c>
      <c r="E86" s="2884" t="s">
        <v>2242</v>
      </c>
      <c r="F86" s="2885"/>
      <c r="G86" s="2885"/>
      <c r="H86" s="2885"/>
      <c r="I86" s="2885"/>
      <c r="J86" s="2885"/>
      <c r="K86" s="2885"/>
      <c r="L86" s="2885"/>
      <c r="M86" s="2885"/>
      <c r="N86" s="2885"/>
      <c r="O86" s="2885"/>
      <c r="P86" s="2885"/>
      <c r="Q86" s="2885"/>
      <c r="R86" s="2885"/>
      <c r="S86" s="2885"/>
      <c r="T86" s="2885"/>
      <c r="U86" s="2885"/>
      <c r="V86" s="2885"/>
      <c r="W86" s="2885"/>
      <c r="X86" s="2885"/>
      <c r="Y86" s="2885"/>
      <c r="Z86" s="2885"/>
      <c r="AA86" s="2885"/>
      <c r="AB86" s="2885"/>
      <c r="AC86" s="2885"/>
      <c r="AD86" s="2885"/>
      <c r="AE86" s="2885"/>
      <c r="AF86" s="2885"/>
      <c r="AG86" s="2885"/>
      <c r="AH86" s="2885"/>
      <c r="AI86" s="2885"/>
      <c r="AJ86" s="2886"/>
      <c r="AK86" s="859"/>
      <c r="AL86" s="856"/>
      <c r="AM86" s="856"/>
      <c r="AN86" s="852"/>
    </row>
    <row r="87" spans="1:47" s="853" customFormat="1" ht="12.75" customHeight="1">
      <c r="A87" s="854"/>
      <c r="B87" s="855"/>
      <c r="C87" s="855"/>
      <c r="D87" s="855"/>
      <c r="E87" s="2887"/>
      <c r="F87" s="2888"/>
      <c r="G87" s="2888"/>
      <c r="H87" s="2888"/>
      <c r="I87" s="2888"/>
      <c r="J87" s="2888"/>
      <c r="K87" s="2888"/>
      <c r="L87" s="2888"/>
      <c r="M87" s="2888"/>
      <c r="N87" s="2888"/>
      <c r="O87" s="2888"/>
      <c r="P87" s="2888"/>
      <c r="Q87" s="2888"/>
      <c r="R87" s="2888"/>
      <c r="S87" s="2888"/>
      <c r="T87" s="2888"/>
      <c r="U87" s="2888"/>
      <c r="V87" s="2888"/>
      <c r="W87" s="2888"/>
      <c r="X87" s="2888"/>
      <c r="Y87" s="2888"/>
      <c r="Z87" s="2888"/>
      <c r="AA87" s="2888"/>
      <c r="AB87" s="2888"/>
      <c r="AC87" s="2888"/>
      <c r="AD87" s="2888"/>
      <c r="AE87" s="2888"/>
      <c r="AF87" s="2888"/>
      <c r="AG87" s="2888"/>
      <c r="AH87" s="2888"/>
      <c r="AI87" s="2888"/>
      <c r="AJ87" s="2889"/>
      <c r="AK87" s="859"/>
      <c r="AL87" s="856"/>
      <c r="AM87" s="856"/>
      <c r="AN87" s="852"/>
    </row>
    <row r="88" spans="1:47" s="853" customFormat="1" ht="12.75" customHeight="1">
      <c r="A88" s="854"/>
      <c r="B88" s="855"/>
      <c r="C88" s="855"/>
      <c r="D88" s="855"/>
      <c r="E88" s="2887"/>
      <c r="F88" s="2888"/>
      <c r="G88" s="2888"/>
      <c r="H88" s="2888"/>
      <c r="I88" s="2888"/>
      <c r="J88" s="2888"/>
      <c r="K88" s="2888"/>
      <c r="L88" s="2888"/>
      <c r="M88" s="2888"/>
      <c r="N88" s="2888"/>
      <c r="O88" s="2888"/>
      <c r="P88" s="2888"/>
      <c r="Q88" s="2888"/>
      <c r="R88" s="2888"/>
      <c r="S88" s="2888"/>
      <c r="T88" s="2888"/>
      <c r="U88" s="2888"/>
      <c r="V88" s="2888"/>
      <c r="W88" s="2888"/>
      <c r="X88" s="2888"/>
      <c r="Y88" s="2888"/>
      <c r="Z88" s="2888"/>
      <c r="AA88" s="2888"/>
      <c r="AB88" s="2888"/>
      <c r="AC88" s="2888"/>
      <c r="AD88" s="2888"/>
      <c r="AE88" s="2888"/>
      <c r="AF88" s="2888"/>
      <c r="AG88" s="2888"/>
      <c r="AH88" s="2888"/>
      <c r="AI88" s="2888"/>
      <c r="AJ88" s="2889"/>
      <c r="AK88" s="859"/>
      <c r="AL88" s="856"/>
      <c r="AM88" s="856"/>
      <c r="AN88" s="852"/>
    </row>
    <row r="89" spans="1:47" s="853" customFormat="1" ht="12.75" customHeight="1">
      <c r="A89" s="854"/>
      <c r="B89" s="855"/>
      <c r="C89" s="855"/>
      <c r="D89" s="855"/>
      <c r="E89" s="2887"/>
      <c r="F89" s="2888"/>
      <c r="G89" s="2888"/>
      <c r="H89" s="2888"/>
      <c r="I89" s="2888"/>
      <c r="J89" s="2888"/>
      <c r="K89" s="2888"/>
      <c r="L89" s="2888"/>
      <c r="M89" s="2888"/>
      <c r="N89" s="2888"/>
      <c r="O89" s="2888"/>
      <c r="P89" s="2888"/>
      <c r="Q89" s="2888"/>
      <c r="R89" s="2888"/>
      <c r="S89" s="2888"/>
      <c r="T89" s="2888"/>
      <c r="U89" s="2888"/>
      <c r="V89" s="2888"/>
      <c r="W89" s="2888"/>
      <c r="X89" s="2888"/>
      <c r="Y89" s="2888"/>
      <c r="Z89" s="2888"/>
      <c r="AA89" s="2888"/>
      <c r="AB89" s="2888"/>
      <c r="AC89" s="2888"/>
      <c r="AD89" s="2888"/>
      <c r="AE89" s="2888"/>
      <c r="AF89" s="2888"/>
      <c r="AG89" s="2888"/>
      <c r="AH89" s="2888"/>
      <c r="AI89" s="2888"/>
      <c r="AJ89" s="2889"/>
      <c r="AK89" s="859"/>
      <c r="AL89" s="856"/>
      <c r="AM89" s="856"/>
      <c r="AN89" s="852"/>
    </row>
    <row r="90" spans="1:47" s="853" customFormat="1" ht="12.75" customHeight="1">
      <c r="A90" s="854"/>
      <c r="B90" s="855"/>
      <c r="C90" s="855"/>
      <c r="D90" s="855"/>
      <c r="E90" s="903"/>
      <c r="F90" s="869"/>
      <c r="G90" s="869"/>
      <c r="H90" s="869"/>
      <c r="I90" s="869"/>
      <c r="J90" s="869"/>
      <c r="K90" s="869"/>
      <c r="L90" s="869"/>
      <c r="M90" s="869"/>
      <c r="N90" s="869"/>
      <c r="O90" s="869"/>
      <c r="P90" s="869"/>
      <c r="Q90" s="869"/>
      <c r="R90" s="869"/>
      <c r="S90" s="869"/>
      <c r="T90" s="869"/>
      <c r="U90" s="869"/>
      <c r="V90" s="869"/>
      <c r="W90" s="869"/>
      <c r="X90" s="869"/>
      <c r="Y90" s="869"/>
      <c r="Z90" s="869"/>
      <c r="AA90" s="869"/>
      <c r="AB90" s="869"/>
      <c r="AC90" s="869"/>
      <c r="AD90" s="869"/>
      <c r="AE90" s="869"/>
      <c r="AF90" s="869"/>
      <c r="AG90" s="869"/>
      <c r="AH90" s="869"/>
      <c r="AI90" s="869"/>
      <c r="AJ90" s="870"/>
      <c r="AK90" s="859"/>
      <c r="AL90" s="856"/>
      <c r="AM90" s="856"/>
      <c r="AN90" s="852"/>
    </row>
    <row r="91" spans="1:47" s="853" customFormat="1" ht="12.75" customHeight="1">
      <c r="A91" s="854"/>
      <c r="B91" s="855"/>
      <c r="C91" s="855"/>
      <c r="D91" s="855"/>
      <c r="E91" s="2926">
        <f>Application!AH753</f>
        <v>0.58000000000000007</v>
      </c>
      <c r="F91" s="2927"/>
      <c r="G91" s="2927"/>
      <c r="H91" s="2927"/>
      <c r="I91" s="894"/>
      <c r="J91" s="1401" t="s">
        <v>1612</v>
      </c>
      <c r="K91" s="1394"/>
      <c r="L91" s="1394"/>
      <c r="M91" s="1394"/>
      <c r="N91" s="1394"/>
      <c r="O91" s="1394"/>
      <c r="P91" s="1394"/>
      <c r="Q91" s="1394"/>
      <c r="R91" s="1403"/>
      <c r="S91" s="1403"/>
      <c r="T91" s="1403"/>
      <c r="U91" s="1403"/>
      <c r="V91" s="1403"/>
      <c r="W91" s="1403"/>
      <c r="X91" s="869"/>
      <c r="Y91" s="869"/>
      <c r="Z91" s="869"/>
      <c r="AA91" s="869"/>
      <c r="AB91" s="869"/>
      <c r="AC91" s="869"/>
      <c r="AD91" s="869"/>
      <c r="AE91" s="869"/>
      <c r="AF91" s="869"/>
      <c r="AG91" s="869"/>
      <c r="AH91" s="869"/>
      <c r="AI91" s="869"/>
      <c r="AJ91" s="870"/>
      <c r="AK91" s="859"/>
      <c r="AL91" s="856"/>
      <c r="AM91" s="856"/>
      <c r="AN91" s="852"/>
    </row>
    <row r="92" spans="1:47" s="853" customFormat="1" ht="12.75" customHeight="1">
      <c r="A92" s="854"/>
      <c r="B92" s="855"/>
      <c r="C92" s="855"/>
      <c r="D92" s="855"/>
      <c r="E92" s="2926">
        <f ca="1">SUMIF(Application!AH728:AL752,0.2,Application!G728:J752)/Application!G753+SUMIF(Application!AH728:AL752,0.25,Application!G728:J752)/Application!G753+SUMIF(Application!AH728:AL752,0.3,Application!G728:J752)/Application!G753</f>
        <v>0.1076923076923077</v>
      </c>
      <c r="F92" s="2927"/>
      <c r="G92" s="2927"/>
      <c r="H92" s="2927"/>
      <c r="I92" s="894"/>
      <c r="J92" s="897" t="s">
        <v>1615</v>
      </c>
      <c r="K92" s="894"/>
      <c r="L92" s="894"/>
      <c r="M92" s="894"/>
      <c r="N92" s="894"/>
      <c r="O92" s="894"/>
      <c r="P92" s="894"/>
      <c r="Q92" s="894"/>
      <c r="R92" s="869"/>
      <c r="S92" s="869"/>
      <c r="T92" s="869"/>
      <c r="U92" s="869"/>
      <c r="V92" s="869"/>
      <c r="W92" s="869"/>
      <c r="X92" s="869"/>
      <c r="Y92" s="869"/>
      <c r="Z92" s="869"/>
      <c r="AA92" s="869"/>
      <c r="AB92" s="869"/>
      <c r="AC92" s="869"/>
      <c r="AD92" s="869"/>
      <c r="AE92" s="869"/>
      <c r="AF92" s="869"/>
      <c r="AG92" s="869"/>
      <c r="AH92" s="869"/>
      <c r="AI92" s="869"/>
      <c r="AJ92" s="870"/>
      <c r="AK92" s="859"/>
      <c r="AL92" s="856"/>
      <c r="AM92" s="856"/>
      <c r="AN92" s="852"/>
      <c r="AU92" s="1392"/>
    </row>
    <row r="93" spans="1:47" s="853" customFormat="1" ht="12.75" customHeight="1">
      <c r="A93" s="854"/>
      <c r="B93" s="855"/>
      <c r="C93" s="855"/>
      <c r="D93" s="855"/>
      <c r="E93" s="2926">
        <f ca="1">SUMIF(Application!AH728:AL752,0.35,Application!G728:J752)/Application!G753+SUMIF(Application!AH728:AL752,0.4,Application!G728:J752)/Application!G753+SUMIF(Application!AH728:AL752,0.45,Application!G728:J752)/Application!G753+SUMIF(Application!AH728:AL752,0.5,Application!G728:J752)/Application!G753</f>
        <v>0.36923076923076925</v>
      </c>
      <c r="F93" s="2927"/>
      <c r="G93" s="2927"/>
      <c r="H93" s="2927"/>
      <c r="I93" s="894"/>
      <c r="J93" s="897" t="s">
        <v>1616</v>
      </c>
      <c r="K93" s="894"/>
      <c r="L93" s="894"/>
      <c r="M93" s="894"/>
      <c r="N93" s="894"/>
      <c r="O93" s="894"/>
      <c r="P93" s="894"/>
      <c r="Q93" s="894"/>
      <c r="R93" s="869"/>
      <c r="S93" s="869"/>
      <c r="T93" s="869"/>
      <c r="U93" s="869"/>
      <c r="V93" s="869"/>
      <c r="W93" s="869"/>
      <c r="X93" s="869"/>
      <c r="Y93" s="869"/>
      <c r="Z93" s="869"/>
      <c r="AA93" s="869"/>
      <c r="AB93" s="869"/>
      <c r="AC93" s="869"/>
      <c r="AD93" s="869"/>
      <c r="AE93" s="869"/>
      <c r="AF93" s="869"/>
      <c r="AG93" s="869"/>
      <c r="AH93" s="869"/>
      <c r="AI93" s="869"/>
      <c r="AJ93" s="870"/>
      <c r="AK93" s="859"/>
      <c r="AL93" s="856"/>
      <c r="AM93" s="856"/>
      <c r="AN93" s="852"/>
      <c r="AU93" s="1392"/>
    </row>
    <row r="94" spans="1:47" s="853" customFormat="1" ht="12.75" customHeight="1">
      <c r="A94" s="854"/>
      <c r="B94" s="855"/>
      <c r="C94" s="855"/>
      <c r="D94" s="855"/>
      <c r="E94" s="2943">
        <f ca="1">IF(AND(E91&lt;=0.6,E92&gt;=0.1,OR(E93&gt;=0.1,E92=1)),20,0)</f>
        <v>20</v>
      </c>
      <c r="F94" s="2944"/>
      <c r="G94" s="2944"/>
      <c r="H94" s="2944"/>
      <c r="I94" s="869"/>
      <c r="J94" s="904" t="s">
        <v>1614</v>
      </c>
      <c r="K94" s="869"/>
      <c r="L94" s="869"/>
      <c r="M94" s="869"/>
      <c r="N94" s="869"/>
      <c r="O94" s="869"/>
      <c r="P94" s="869"/>
      <c r="Q94" s="869"/>
      <c r="R94" s="869"/>
      <c r="S94" s="869"/>
      <c r="T94" s="869"/>
      <c r="U94" s="869"/>
      <c r="V94" s="869"/>
      <c r="W94" s="869"/>
      <c r="X94" s="869"/>
      <c r="Y94" s="869"/>
      <c r="Z94" s="869"/>
      <c r="AA94" s="869"/>
      <c r="AB94" s="869"/>
      <c r="AC94" s="869"/>
      <c r="AD94" s="869"/>
      <c r="AE94" s="869"/>
      <c r="AF94" s="869"/>
      <c r="AG94" s="869"/>
      <c r="AH94" s="869"/>
      <c r="AI94" s="869"/>
      <c r="AJ94" s="870"/>
      <c r="AK94" s="859"/>
      <c r="AL94" s="856"/>
      <c r="AM94" s="856"/>
      <c r="AN94" s="852"/>
      <c r="AP94" s="853">
        <f ca="1">IF(B86="yes",E94,0)</f>
        <v>20</v>
      </c>
      <c r="AQ94" s="853" t="s">
        <v>1582</v>
      </c>
    </row>
    <row r="95" spans="1:47" s="853" customFormat="1" ht="12.75" customHeight="1">
      <c r="A95" s="854"/>
      <c r="B95" s="855"/>
      <c r="C95" s="855"/>
      <c r="D95" s="855"/>
      <c r="E95" s="899"/>
      <c r="F95" s="900"/>
      <c r="G95" s="900"/>
      <c r="H95" s="900"/>
      <c r="I95" s="900"/>
      <c r="J95" s="900"/>
      <c r="K95" s="900"/>
      <c r="L95" s="900"/>
      <c r="M95" s="900"/>
      <c r="N95" s="900"/>
      <c r="O95" s="900"/>
      <c r="P95" s="900"/>
      <c r="Q95" s="900"/>
      <c r="R95" s="900"/>
      <c r="S95" s="900"/>
      <c r="T95" s="900"/>
      <c r="U95" s="900"/>
      <c r="V95" s="900"/>
      <c r="W95" s="900"/>
      <c r="X95" s="900"/>
      <c r="Y95" s="900"/>
      <c r="Z95" s="900"/>
      <c r="AA95" s="900"/>
      <c r="AB95" s="900"/>
      <c r="AC95" s="900"/>
      <c r="AD95" s="900"/>
      <c r="AE95" s="901"/>
      <c r="AF95" s="901"/>
      <c r="AG95" s="901"/>
      <c r="AH95" s="901"/>
      <c r="AI95" s="901"/>
      <c r="AJ95" s="902"/>
      <c r="AK95" s="859"/>
      <c r="AL95" s="856"/>
      <c r="AM95" s="856"/>
      <c r="AN95" s="852"/>
    </row>
    <row r="96" spans="1:47" s="853" customFormat="1" ht="12.75" customHeight="1">
      <c r="A96" s="854"/>
      <c r="B96" s="855"/>
      <c r="C96" s="855"/>
      <c r="D96" s="855"/>
      <c r="E96" s="855"/>
      <c r="F96" s="855"/>
      <c r="G96" s="855"/>
      <c r="H96" s="855"/>
      <c r="I96" s="855"/>
      <c r="J96" s="855"/>
      <c r="K96" s="855"/>
      <c r="L96" s="855"/>
      <c r="M96" s="855"/>
      <c r="N96" s="855"/>
      <c r="O96" s="855"/>
      <c r="P96" s="855"/>
      <c r="Q96" s="855"/>
      <c r="R96" s="855"/>
      <c r="S96" s="855"/>
      <c r="T96" s="855"/>
      <c r="U96" s="855"/>
      <c r="V96" s="855"/>
      <c r="W96" s="855"/>
      <c r="X96" s="855"/>
      <c r="Y96" s="855"/>
      <c r="Z96" s="855"/>
      <c r="AA96" s="855"/>
      <c r="AB96" s="855"/>
      <c r="AC96" s="855"/>
      <c r="AD96" s="855"/>
      <c r="AE96" s="859"/>
      <c r="AF96" s="859"/>
      <c r="AG96" s="859"/>
      <c r="AH96" s="859"/>
      <c r="AI96" s="859"/>
      <c r="AJ96" s="859"/>
      <c r="AK96" s="859"/>
      <c r="AL96" s="856"/>
      <c r="AM96" s="856"/>
      <c r="AN96" s="852"/>
    </row>
    <row r="97" spans="1:49" s="853" customFormat="1" ht="12.75" customHeight="1">
      <c r="A97" s="878"/>
      <c r="B97" s="879"/>
      <c r="C97" s="879"/>
      <c r="D97" s="879"/>
      <c r="E97" s="879"/>
      <c r="F97" s="879"/>
      <c r="G97" s="880"/>
      <c r="H97" s="881"/>
      <c r="I97" s="881"/>
      <c r="J97" s="881"/>
      <c r="K97" s="881"/>
      <c r="L97" s="881"/>
      <c r="M97" s="881"/>
      <c r="N97" s="881"/>
      <c r="O97" s="881"/>
      <c r="P97" s="881"/>
      <c r="Q97" s="881"/>
      <c r="R97" s="881"/>
      <c r="S97" s="881"/>
      <c r="T97" s="881"/>
      <c r="U97" s="881"/>
      <c r="V97" s="881"/>
      <c r="W97" s="881"/>
      <c r="X97" s="881"/>
      <c r="Y97" s="881"/>
      <c r="Z97" s="881"/>
      <c r="AA97" s="881"/>
      <c r="AB97" s="881"/>
      <c r="AC97" s="881"/>
      <c r="AD97" s="881"/>
      <c r="AE97" s="881"/>
      <c r="AF97" s="881"/>
      <c r="AG97" s="881"/>
      <c r="AH97" s="881"/>
      <c r="AI97" s="882"/>
      <c r="AJ97" s="882" t="s">
        <v>1617</v>
      </c>
      <c r="AK97" s="2923">
        <f ca="1">MAX(AP83,AP94)</f>
        <v>20</v>
      </c>
      <c r="AL97" s="2924"/>
      <c r="AM97" s="2925"/>
      <c r="AN97" s="852"/>
    </row>
    <row r="98" spans="1:49" s="853" customFormat="1" ht="12.75" customHeight="1" thickBot="1">
      <c r="A98" s="883"/>
      <c r="B98" s="884"/>
      <c r="C98" s="885"/>
      <c r="D98" s="885"/>
      <c r="E98" s="885"/>
      <c r="F98" s="885"/>
      <c r="G98" s="885"/>
      <c r="H98" s="885"/>
      <c r="I98" s="885"/>
      <c r="J98" s="885"/>
      <c r="K98" s="885"/>
      <c r="L98" s="885"/>
      <c r="M98" s="885"/>
      <c r="N98" s="885"/>
      <c r="O98" s="885"/>
      <c r="P98" s="885"/>
      <c r="Q98" s="885"/>
      <c r="R98" s="885"/>
      <c r="S98" s="885"/>
      <c r="T98" s="885"/>
      <c r="U98" s="885"/>
      <c r="V98" s="885"/>
      <c r="W98" s="885"/>
      <c r="X98" s="885"/>
      <c r="Y98" s="885"/>
      <c r="Z98" s="885"/>
      <c r="AA98" s="885"/>
      <c r="AB98" s="885"/>
      <c r="AC98" s="885"/>
      <c r="AD98" s="885"/>
      <c r="AE98" s="885"/>
      <c r="AF98" s="885"/>
      <c r="AG98" s="885"/>
      <c r="AH98" s="885"/>
      <c r="AI98" s="885"/>
      <c r="AJ98" s="885"/>
      <c r="AK98" s="885"/>
      <c r="AL98" s="885"/>
      <c r="AM98" s="886"/>
      <c r="AN98" s="852"/>
    </row>
    <row r="99" spans="1:49" s="853" customFormat="1" ht="12.75" customHeight="1" thickTop="1">
      <c r="A99" s="887"/>
      <c r="B99" s="888"/>
      <c r="C99" s="889"/>
      <c r="D99" s="889"/>
      <c r="E99" s="889"/>
      <c r="F99" s="889"/>
      <c r="G99" s="889"/>
      <c r="H99" s="889"/>
      <c r="I99" s="890"/>
      <c r="J99" s="890"/>
      <c r="K99" s="890"/>
      <c r="L99" s="890"/>
      <c r="M99" s="890"/>
      <c r="N99" s="890"/>
      <c r="O99" s="890"/>
      <c r="P99" s="890"/>
      <c r="Q99" s="890"/>
      <c r="R99" s="887"/>
      <c r="S99" s="855"/>
      <c r="T99" s="855"/>
      <c r="U99" s="855"/>
      <c r="V99" s="855"/>
      <c r="W99" s="855"/>
      <c r="X99" s="855"/>
      <c r="Y99" s="855"/>
      <c r="Z99" s="855"/>
      <c r="AA99" s="855"/>
      <c r="AB99" s="855"/>
      <c r="AC99" s="855"/>
      <c r="AD99" s="855"/>
      <c r="AE99" s="855"/>
      <c r="AF99" s="887"/>
      <c r="AG99" s="855"/>
      <c r="AH99" s="855"/>
      <c r="AI99" s="855"/>
      <c r="AJ99" s="855"/>
      <c r="AK99" s="866"/>
      <c r="AL99" s="866"/>
      <c r="AM99" s="866"/>
      <c r="AN99" s="852"/>
    </row>
    <row r="100" spans="1:49" s="853" customFormat="1" ht="12.75" customHeight="1">
      <c r="A100" s="854" t="s">
        <v>1618</v>
      </c>
      <c r="B100" s="855" t="s">
        <v>1619</v>
      </c>
      <c r="C100" s="855"/>
      <c r="D100" s="855"/>
      <c r="E100" s="855"/>
      <c r="F100" s="855"/>
      <c r="G100" s="855"/>
      <c r="H100" s="855"/>
      <c r="I100" s="855"/>
      <c r="J100" s="855"/>
      <c r="K100" s="855"/>
      <c r="L100" s="855"/>
      <c r="M100" s="855"/>
      <c r="N100" s="855"/>
      <c r="O100" s="855"/>
      <c r="P100" s="855"/>
      <c r="Q100" s="855"/>
      <c r="R100" s="855"/>
      <c r="S100" s="855"/>
      <c r="T100" s="855"/>
      <c r="U100" s="855"/>
      <c r="V100" s="855"/>
      <c r="W100" s="855"/>
      <c r="X100" s="855"/>
      <c r="Y100" s="855"/>
      <c r="Z100" s="855"/>
      <c r="AA100" s="855"/>
      <c r="AB100" s="855"/>
      <c r="AC100" s="855"/>
      <c r="AD100" s="855"/>
      <c r="AE100" s="2891" t="s">
        <v>1600</v>
      </c>
      <c r="AF100" s="2891"/>
      <c r="AG100" s="2891"/>
      <c r="AH100" s="2891"/>
      <c r="AI100" s="2891"/>
      <c r="AJ100" s="2891"/>
      <c r="AK100" s="2891"/>
      <c r="AL100" s="856"/>
      <c r="AM100" s="856"/>
      <c r="AN100" s="852"/>
      <c r="AO100" s="853" t="str">
        <f>Application!B728</f>
        <v>1 Bedroom</v>
      </c>
      <c r="AQ100" s="853">
        <f>Application!O728</f>
        <v>421</v>
      </c>
    </row>
    <row r="101" spans="1:49" s="853" customFormat="1" ht="12.75" customHeight="1">
      <c r="A101" s="856"/>
      <c r="B101" s="855" t="s">
        <v>1610</v>
      </c>
      <c r="C101" s="855"/>
      <c r="D101" s="855"/>
      <c r="E101" s="855"/>
      <c r="F101" s="855"/>
      <c r="G101" s="855"/>
      <c r="H101" s="855"/>
      <c r="I101" s="855"/>
      <c r="J101" s="855"/>
      <c r="K101" s="855"/>
      <c r="L101" s="855"/>
      <c r="M101" s="855"/>
      <c r="N101" s="855"/>
      <c r="O101" s="855"/>
      <c r="P101" s="855"/>
      <c r="Q101" s="855"/>
      <c r="R101" s="855"/>
      <c r="S101" s="855"/>
      <c r="T101" s="855"/>
      <c r="U101" s="855"/>
      <c r="V101" s="855"/>
      <c r="W101" s="855"/>
      <c r="X101" s="855"/>
      <c r="Y101" s="855"/>
      <c r="Z101" s="855"/>
      <c r="AA101" s="855"/>
      <c r="AB101" s="855"/>
      <c r="AC101" s="855"/>
      <c r="AD101" s="855"/>
      <c r="AE101" s="1644"/>
      <c r="AF101" s="1644"/>
      <c r="AG101" s="1644"/>
      <c r="AH101" s="1644"/>
      <c r="AI101" s="1644"/>
      <c r="AJ101" s="1644"/>
      <c r="AK101" s="856"/>
      <c r="AL101" s="856"/>
      <c r="AM101" s="856"/>
      <c r="AN101" s="852"/>
      <c r="AO101" s="853" t="str">
        <f>Application!B729</f>
        <v>1 Bedroom</v>
      </c>
      <c r="AQ101" s="853">
        <f>Application!O729</f>
        <v>785</v>
      </c>
    </row>
    <row r="102" spans="1:49" s="853" customFormat="1" ht="12.75" customHeight="1">
      <c r="A102" s="856"/>
      <c r="B102" s="855"/>
      <c r="C102" s="855"/>
      <c r="D102" s="855"/>
      <c r="E102" s="1394"/>
      <c r="F102" s="1394"/>
      <c r="G102" s="1394"/>
      <c r="H102" s="1394"/>
      <c r="I102" s="1394"/>
      <c r="J102" s="1394"/>
      <c r="K102" s="1394"/>
      <c r="L102" s="1394"/>
      <c r="M102" s="1394"/>
      <c r="N102" s="1394"/>
      <c r="O102" s="1394"/>
      <c r="P102" s="1394"/>
      <c r="Q102" s="1394"/>
      <c r="R102" s="1394"/>
      <c r="S102" s="1394"/>
      <c r="T102" s="1394"/>
      <c r="U102" s="1394"/>
      <c r="V102" s="1394"/>
      <c r="W102" s="1394"/>
      <c r="X102" s="1394"/>
      <c r="Y102" s="1394"/>
      <c r="Z102" s="1394"/>
      <c r="AA102" s="1394"/>
      <c r="AB102" s="1394"/>
      <c r="AC102" s="1394"/>
      <c r="AD102" s="1394"/>
      <c r="AE102" s="1394"/>
      <c r="AF102" s="1394"/>
      <c r="AG102" s="1394"/>
      <c r="AH102" s="1394"/>
      <c r="AI102" s="1394"/>
      <c r="AJ102" s="1394"/>
      <c r="AK102" s="856"/>
      <c r="AL102" s="856"/>
      <c r="AM102" s="856"/>
      <c r="AN102" s="852"/>
      <c r="AO102" s="853" t="str">
        <f>Application!B730</f>
        <v>1 Bedroom</v>
      </c>
      <c r="AQ102" s="853">
        <f>Application!O730</f>
        <v>967</v>
      </c>
    </row>
    <row r="103" spans="1:49" s="853" customFormat="1" ht="12.75" customHeight="1">
      <c r="A103" s="856"/>
      <c r="B103" s="2890" t="s">
        <v>580</v>
      </c>
      <c r="C103" s="2890"/>
      <c r="D103" s="863" t="s">
        <v>1601</v>
      </c>
      <c r="E103" s="2884" t="s">
        <v>2436</v>
      </c>
      <c r="F103" s="2885"/>
      <c r="G103" s="2885"/>
      <c r="H103" s="2885"/>
      <c r="I103" s="2885"/>
      <c r="J103" s="2885"/>
      <c r="K103" s="2885"/>
      <c r="L103" s="2885"/>
      <c r="M103" s="2885"/>
      <c r="N103" s="2885"/>
      <c r="O103" s="2885"/>
      <c r="P103" s="2885"/>
      <c r="Q103" s="2885"/>
      <c r="R103" s="2885"/>
      <c r="S103" s="2885"/>
      <c r="T103" s="2885"/>
      <c r="U103" s="2885"/>
      <c r="V103" s="2885"/>
      <c r="W103" s="2885"/>
      <c r="X103" s="2885"/>
      <c r="Y103" s="2885"/>
      <c r="Z103" s="2885"/>
      <c r="AA103" s="2885"/>
      <c r="AB103" s="2885"/>
      <c r="AC103" s="2885"/>
      <c r="AD103" s="2885"/>
      <c r="AE103" s="2885"/>
      <c r="AF103" s="2885"/>
      <c r="AG103" s="2885"/>
      <c r="AH103" s="2885"/>
      <c r="AI103" s="2885"/>
      <c r="AJ103" s="2886"/>
      <c r="AK103" s="856"/>
      <c r="AL103" s="856"/>
      <c r="AM103" s="856"/>
      <c r="AN103" s="852"/>
      <c r="AO103" s="853" t="str">
        <f>Application!B731</f>
        <v>2 Bedrooms</v>
      </c>
      <c r="AQ103" s="853">
        <f>Application!O731</f>
        <v>480</v>
      </c>
      <c r="AU103" s="853" t="s">
        <v>2433</v>
      </c>
      <c r="AV103" s="1637" t="s">
        <v>2434</v>
      </c>
      <c r="AW103" s="853" t="s">
        <v>2435</v>
      </c>
    </row>
    <row r="104" spans="1:49" s="853" customFormat="1" ht="12.75" customHeight="1">
      <c r="A104" s="856"/>
      <c r="B104" s="855"/>
      <c r="C104" s="855"/>
      <c r="D104" s="855"/>
      <c r="E104" s="2887"/>
      <c r="F104" s="2888"/>
      <c r="G104" s="2888"/>
      <c r="H104" s="2888"/>
      <c r="I104" s="2888"/>
      <c r="J104" s="2888"/>
      <c r="K104" s="2888"/>
      <c r="L104" s="2888"/>
      <c r="M104" s="2888"/>
      <c r="N104" s="2888"/>
      <c r="O104" s="2888"/>
      <c r="P104" s="2888"/>
      <c r="Q104" s="2888"/>
      <c r="R104" s="2888"/>
      <c r="S104" s="2888"/>
      <c r="T104" s="2888"/>
      <c r="U104" s="2888"/>
      <c r="V104" s="2888"/>
      <c r="W104" s="2888"/>
      <c r="X104" s="2888"/>
      <c r="Y104" s="2888"/>
      <c r="Z104" s="2888"/>
      <c r="AA104" s="2888"/>
      <c r="AB104" s="2888"/>
      <c r="AC104" s="2888"/>
      <c r="AD104" s="2888"/>
      <c r="AE104" s="2888"/>
      <c r="AF104" s="2888"/>
      <c r="AG104" s="2888"/>
      <c r="AH104" s="2888"/>
      <c r="AI104" s="2888"/>
      <c r="AJ104" s="2889"/>
      <c r="AK104" s="856"/>
      <c r="AL104" s="856"/>
      <c r="AM104" s="856"/>
      <c r="AN104" s="852"/>
      <c r="AO104" s="853" t="str">
        <f>Application!B732</f>
        <v>2 Bedrooms</v>
      </c>
      <c r="AQ104" s="853">
        <f>Application!O732</f>
        <v>917</v>
      </c>
      <c r="AU104" s="1638" t="str">
        <f>E112</f>
        <v>Studio/SRO</v>
      </c>
      <c r="AV104" s="853">
        <f t="array" ref="AV104">SUM(IF(Application!B728:F752="SRO/Studio",Application!G728:J752))</f>
        <v>0</v>
      </c>
      <c r="AW104" s="1664">
        <f>AV104/AV110</f>
        <v>0</v>
      </c>
    </row>
    <row r="105" spans="1:49" s="853" customFormat="1" ht="12.75" customHeight="1">
      <c r="A105" s="856"/>
      <c r="B105" s="855"/>
      <c r="C105" s="855"/>
      <c r="D105" s="855"/>
      <c r="E105" s="2887"/>
      <c r="F105" s="2888"/>
      <c r="G105" s="2888"/>
      <c r="H105" s="2888"/>
      <c r="I105" s="2888"/>
      <c r="J105" s="2888"/>
      <c r="K105" s="2888"/>
      <c r="L105" s="2888"/>
      <c r="M105" s="2888"/>
      <c r="N105" s="2888"/>
      <c r="O105" s="2888"/>
      <c r="P105" s="2888"/>
      <c r="Q105" s="2888"/>
      <c r="R105" s="2888"/>
      <c r="S105" s="2888"/>
      <c r="T105" s="2888"/>
      <c r="U105" s="2888"/>
      <c r="V105" s="2888"/>
      <c r="W105" s="2888"/>
      <c r="X105" s="2888"/>
      <c r="Y105" s="2888"/>
      <c r="Z105" s="2888"/>
      <c r="AA105" s="2888"/>
      <c r="AB105" s="2888"/>
      <c r="AC105" s="2888"/>
      <c r="AD105" s="2888"/>
      <c r="AE105" s="2888"/>
      <c r="AF105" s="2888"/>
      <c r="AG105" s="2888"/>
      <c r="AH105" s="2888"/>
      <c r="AI105" s="2888"/>
      <c r="AJ105" s="2889"/>
      <c r="AK105" s="856"/>
      <c r="AL105" s="856"/>
      <c r="AM105" s="856"/>
      <c r="AN105" s="852"/>
      <c r="AO105" s="853" t="str">
        <f>Application!B733</f>
        <v>2 Bedrooms</v>
      </c>
      <c r="AQ105" s="853">
        <f>Application!O733</f>
        <v>1135</v>
      </c>
      <c r="AU105" s="1638" t="str">
        <f>J112</f>
        <v>1-bedroom</v>
      </c>
      <c r="AV105" s="853">
        <f t="array" ref="AV105">SUM(IF(Application!B728:F752="1 Bedroom",Application!G728:J752))</f>
        <v>4</v>
      </c>
      <c r="AW105" s="1664">
        <f>AV105/AV110</f>
        <v>6.1538461538461542E-2</v>
      </c>
    </row>
    <row r="106" spans="1:49" s="853" customFormat="1" ht="12.75" customHeight="1">
      <c r="A106" s="856"/>
      <c r="B106" s="855"/>
      <c r="C106" s="855"/>
      <c r="D106" s="855"/>
      <c r="E106" s="2887"/>
      <c r="F106" s="2888"/>
      <c r="G106" s="2888"/>
      <c r="H106" s="2888"/>
      <c r="I106" s="2888"/>
      <c r="J106" s="2888"/>
      <c r="K106" s="2888"/>
      <c r="L106" s="2888"/>
      <c r="M106" s="2888"/>
      <c r="N106" s="2888"/>
      <c r="O106" s="2888"/>
      <c r="P106" s="2888"/>
      <c r="Q106" s="2888"/>
      <c r="R106" s="2888"/>
      <c r="S106" s="2888"/>
      <c r="T106" s="2888"/>
      <c r="U106" s="2888"/>
      <c r="V106" s="2888"/>
      <c r="W106" s="2888"/>
      <c r="X106" s="2888"/>
      <c r="Y106" s="2888"/>
      <c r="Z106" s="2888"/>
      <c r="AA106" s="2888"/>
      <c r="AB106" s="2888"/>
      <c r="AC106" s="2888"/>
      <c r="AD106" s="2888"/>
      <c r="AE106" s="2888"/>
      <c r="AF106" s="2888"/>
      <c r="AG106" s="2888"/>
      <c r="AH106" s="2888"/>
      <c r="AI106" s="2888"/>
      <c r="AJ106" s="2889"/>
      <c r="AK106" s="856"/>
      <c r="AL106" s="856"/>
      <c r="AM106" s="856"/>
      <c r="AN106" s="852"/>
      <c r="AO106" s="853" t="str">
        <f>Application!B734</f>
        <v>2 Bedrooms</v>
      </c>
      <c r="AQ106" s="853">
        <f>Application!O734</f>
        <v>1572</v>
      </c>
      <c r="AU106" s="1638" t="str">
        <f>O112</f>
        <v>2-bedroom</v>
      </c>
      <c r="AV106" s="853">
        <f t="array" ref="AV106">SUM(IF(Application!B728:F752="2 Bedrooms",Application!G728:J752))</f>
        <v>30</v>
      </c>
      <c r="AW106" s="1664">
        <f>AV106/AV110</f>
        <v>0.46153846153846156</v>
      </c>
    </row>
    <row r="107" spans="1:49" s="853" customFormat="1" ht="12.75" customHeight="1">
      <c r="A107" s="856"/>
      <c r="B107" s="855"/>
      <c r="C107" s="855"/>
      <c r="D107" s="855"/>
      <c r="E107" s="2887"/>
      <c r="F107" s="2888"/>
      <c r="G107" s="2888"/>
      <c r="H107" s="2888"/>
      <c r="I107" s="2888"/>
      <c r="J107" s="2888"/>
      <c r="K107" s="2888"/>
      <c r="L107" s="2888"/>
      <c r="M107" s="2888"/>
      <c r="N107" s="2888"/>
      <c r="O107" s="2888"/>
      <c r="P107" s="2888"/>
      <c r="Q107" s="2888"/>
      <c r="R107" s="2888"/>
      <c r="S107" s="2888"/>
      <c r="T107" s="2888"/>
      <c r="U107" s="2888"/>
      <c r="V107" s="2888"/>
      <c r="W107" s="2888"/>
      <c r="X107" s="2888"/>
      <c r="Y107" s="2888"/>
      <c r="Z107" s="2888"/>
      <c r="AA107" s="2888"/>
      <c r="AB107" s="2888"/>
      <c r="AC107" s="2888"/>
      <c r="AD107" s="2888"/>
      <c r="AE107" s="2888"/>
      <c r="AF107" s="2888"/>
      <c r="AG107" s="2888"/>
      <c r="AH107" s="2888"/>
      <c r="AI107" s="2888"/>
      <c r="AJ107" s="2889"/>
      <c r="AK107" s="856"/>
      <c r="AL107" s="856"/>
      <c r="AM107" s="856"/>
      <c r="AN107" s="852"/>
      <c r="AO107" s="853" t="str">
        <f>Application!B735</f>
        <v>3 Bedrooms</v>
      </c>
      <c r="AQ107" s="853">
        <f>Application!O735</f>
        <v>513</v>
      </c>
      <c r="AU107" s="1638" t="str">
        <f>T112</f>
        <v>3-bedroom</v>
      </c>
      <c r="AV107" s="853">
        <f t="array" ref="AV107">SUM(IF(Application!B728:F752="3 Bedrooms",Application!G728:J752))</f>
        <v>31</v>
      </c>
      <c r="AW107" s="1664">
        <f>AV107/AV110</f>
        <v>0.47692307692307695</v>
      </c>
    </row>
    <row r="108" spans="1:49" s="853" customFormat="1" ht="12.75" customHeight="1">
      <c r="A108" s="856"/>
      <c r="B108" s="855"/>
      <c r="C108" s="855"/>
      <c r="D108" s="855"/>
      <c r="E108" s="2887"/>
      <c r="F108" s="2888"/>
      <c r="G108" s="2888"/>
      <c r="H108" s="2888"/>
      <c r="I108" s="2888"/>
      <c r="J108" s="2888"/>
      <c r="K108" s="2888"/>
      <c r="L108" s="2888"/>
      <c r="M108" s="2888"/>
      <c r="N108" s="2888"/>
      <c r="O108" s="2888"/>
      <c r="P108" s="2888"/>
      <c r="Q108" s="2888"/>
      <c r="R108" s="2888"/>
      <c r="S108" s="2888"/>
      <c r="T108" s="2888"/>
      <c r="U108" s="2888"/>
      <c r="V108" s="2888"/>
      <c r="W108" s="2888"/>
      <c r="X108" s="2888"/>
      <c r="Y108" s="2888"/>
      <c r="Z108" s="2888"/>
      <c r="AA108" s="2888"/>
      <c r="AB108" s="2888"/>
      <c r="AC108" s="2888"/>
      <c r="AD108" s="2888"/>
      <c r="AE108" s="2888"/>
      <c r="AF108" s="2888"/>
      <c r="AG108" s="2888"/>
      <c r="AH108" s="2888"/>
      <c r="AI108" s="2888"/>
      <c r="AJ108" s="2889"/>
      <c r="AK108" s="856"/>
      <c r="AL108" s="856"/>
      <c r="AM108" s="856"/>
      <c r="AN108" s="852"/>
      <c r="AO108" s="853" t="str">
        <f>Application!B736</f>
        <v>3 Bedrooms</v>
      </c>
      <c r="AQ108" s="853">
        <f>Application!O736</f>
        <v>1017</v>
      </c>
      <c r="AU108" s="1638" t="str">
        <f>Y112</f>
        <v>4-bedroom</v>
      </c>
      <c r="AV108" s="853">
        <f t="array" ref="AV108">SUM(IF(Application!B728:F752="4 Bedrooms",Application!G728:J752))</f>
        <v>0</v>
      </c>
      <c r="AW108" s="1664">
        <f>AV108/AV110</f>
        <v>0</v>
      </c>
    </row>
    <row r="109" spans="1:49" s="853" customFormat="1" ht="12.75" customHeight="1">
      <c r="A109" s="856"/>
      <c r="B109" s="855"/>
      <c r="C109" s="855"/>
      <c r="D109" s="855"/>
      <c r="E109" s="2887"/>
      <c r="F109" s="2888"/>
      <c r="G109" s="2888"/>
      <c r="H109" s="2888"/>
      <c r="I109" s="2888"/>
      <c r="J109" s="2888"/>
      <c r="K109" s="2888"/>
      <c r="L109" s="2888"/>
      <c r="M109" s="2888"/>
      <c r="N109" s="2888"/>
      <c r="O109" s="2888"/>
      <c r="P109" s="2888"/>
      <c r="Q109" s="2888"/>
      <c r="R109" s="2888"/>
      <c r="S109" s="2888"/>
      <c r="T109" s="2888"/>
      <c r="U109" s="2888"/>
      <c r="V109" s="2888"/>
      <c r="W109" s="2888"/>
      <c r="X109" s="2888"/>
      <c r="Y109" s="2888"/>
      <c r="Z109" s="2888"/>
      <c r="AA109" s="2888"/>
      <c r="AB109" s="2888"/>
      <c r="AC109" s="2888"/>
      <c r="AD109" s="2888"/>
      <c r="AE109" s="2888"/>
      <c r="AF109" s="2888"/>
      <c r="AG109" s="2888"/>
      <c r="AH109" s="2888"/>
      <c r="AI109" s="2888"/>
      <c r="AJ109" s="2889"/>
      <c r="AK109" s="856"/>
      <c r="AL109" s="856"/>
      <c r="AM109" s="856"/>
      <c r="AN109" s="852"/>
      <c r="AO109" s="853" t="str">
        <f>Application!B737</f>
        <v>3 Bedrooms</v>
      </c>
      <c r="AQ109" s="853">
        <f>Application!O737</f>
        <v>1269</v>
      </c>
      <c r="AU109" s="1638" t="str">
        <f>AD112</f>
        <v>5-bedroom</v>
      </c>
      <c r="AV109" s="853">
        <f t="array" ref="AV109">SUM(IF(Application!B728:F752="5 Bedrooms",Application!G728:J752))</f>
        <v>0</v>
      </c>
      <c r="AW109" s="1664">
        <f>AV109/AV110</f>
        <v>0</v>
      </c>
    </row>
    <row r="110" spans="1:49" s="853" customFormat="1" ht="12.75" customHeight="1">
      <c r="A110" s="856"/>
      <c r="B110" s="855"/>
      <c r="C110" s="855"/>
      <c r="D110" s="855"/>
      <c r="E110" s="2887"/>
      <c r="F110" s="2888"/>
      <c r="G110" s="2888"/>
      <c r="H110" s="2888"/>
      <c r="I110" s="2888"/>
      <c r="J110" s="2888"/>
      <c r="K110" s="2888"/>
      <c r="L110" s="2888"/>
      <c r="M110" s="2888"/>
      <c r="N110" s="2888"/>
      <c r="O110" s="2888"/>
      <c r="P110" s="2888"/>
      <c r="Q110" s="2888"/>
      <c r="R110" s="2888"/>
      <c r="S110" s="2888"/>
      <c r="T110" s="2888"/>
      <c r="U110" s="2888"/>
      <c r="V110" s="2888"/>
      <c r="W110" s="2888"/>
      <c r="X110" s="2888"/>
      <c r="Y110" s="2888"/>
      <c r="Z110" s="2888"/>
      <c r="AA110" s="2888"/>
      <c r="AB110" s="2888"/>
      <c r="AC110" s="2888"/>
      <c r="AD110" s="2888"/>
      <c r="AE110" s="2888"/>
      <c r="AF110" s="2888"/>
      <c r="AG110" s="2888"/>
      <c r="AH110" s="2888"/>
      <c r="AI110" s="2888"/>
      <c r="AJ110" s="2889"/>
      <c r="AK110" s="856"/>
      <c r="AL110" s="856"/>
      <c r="AM110" s="856"/>
      <c r="AN110" s="852"/>
      <c r="AO110" s="853" t="str">
        <f>Application!B738</f>
        <v>3 Bedrooms</v>
      </c>
      <c r="AQ110" s="853">
        <f>Application!O738</f>
        <v>1773</v>
      </c>
      <c r="AV110" s="853">
        <f>SUM(AV104:AV109)</f>
        <v>65</v>
      </c>
      <c r="AW110" s="1664">
        <f>SUM(AW104:AW109)</f>
        <v>1</v>
      </c>
    </row>
    <row r="111" spans="1:49" s="853" customFormat="1" ht="12.75" customHeight="1">
      <c r="A111" s="856"/>
      <c r="B111" s="855"/>
      <c r="C111" s="855"/>
      <c r="D111" s="855"/>
      <c r="E111" s="903"/>
      <c r="F111" s="869"/>
      <c r="G111" s="869"/>
      <c r="H111" s="869"/>
      <c r="I111" s="869"/>
      <c r="J111" s="869"/>
      <c r="K111" s="869"/>
      <c r="L111" s="869"/>
      <c r="M111" s="869"/>
      <c r="N111" s="869"/>
      <c r="O111" s="869"/>
      <c r="P111" s="869"/>
      <c r="Q111" s="869"/>
      <c r="R111" s="869"/>
      <c r="S111" s="869"/>
      <c r="T111" s="869"/>
      <c r="U111" s="869"/>
      <c r="V111" s="869"/>
      <c r="W111" s="869"/>
      <c r="X111" s="869"/>
      <c r="Y111" s="869"/>
      <c r="Z111" s="869"/>
      <c r="AA111" s="869"/>
      <c r="AB111" s="869"/>
      <c r="AC111" s="869"/>
      <c r="AD111" s="869"/>
      <c r="AE111" s="869"/>
      <c r="AF111" s="869"/>
      <c r="AG111" s="869"/>
      <c r="AH111" s="869"/>
      <c r="AI111" s="869"/>
      <c r="AJ111" s="870"/>
      <c r="AK111" s="856"/>
      <c r="AL111" s="856"/>
      <c r="AM111" s="856"/>
      <c r="AN111" s="852"/>
      <c r="AO111" s="853">
        <f>Application!B739</f>
        <v>0</v>
      </c>
      <c r="AQ111" s="853">
        <f>Application!O739</f>
        <v>0</v>
      </c>
    </row>
    <row r="112" spans="1:49" s="853" customFormat="1" ht="12.75" customHeight="1">
      <c r="A112" s="856"/>
      <c r="B112" s="855"/>
      <c r="C112" s="856"/>
      <c r="D112" s="856"/>
      <c r="E112" s="2926" t="s">
        <v>1903</v>
      </c>
      <c r="F112" s="2927"/>
      <c r="G112" s="2927"/>
      <c r="H112" s="2927"/>
      <c r="I112" s="1394"/>
      <c r="J112" s="2927" t="s">
        <v>1997</v>
      </c>
      <c r="K112" s="2927"/>
      <c r="L112" s="2927"/>
      <c r="M112" s="2927"/>
      <c r="N112" s="1394"/>
      <c r="O112" s="2927" t="s">
        <v>1998</v>
      </c>
      <c r="P112" s="2927"/>
      <c r="Q112" s="2927"/>
      <c r="R112" s="2927"/>
      <c r="S112" s="1394"/>
      <c r="T112" s="2927" t="s">
        <v>1620</v>
      </c>
      <c r="U112" s="2927"/>
      <c r="V112" s="2927"/>
      <c r="W112" s="2927"/>
      <c r="X112" s="1394"/>
      <c r="Y112" s="2927" t="s">
        <v>1999</v>
      </c>
      <c r="Z112" s="2927"/>
      <c r="AA112" s="2927"/>
      <c r="AB112" s="2927"/>
      <c r="AC112" s="1394"/>
      <c r="AD112" s="2927" t="s">
        <v>2000</v>
      </c>
      <c r="AE112" s="2927"/>
      <c r="AF112" s="2927"/>
      <c r="AG112" s="2927"/>
      <c r="AH112" s="894"/>
      <c r="AI112" s="894"/>
      <c r="AJ112" s="896"/>
      <c r="AK112" s="856"/>
      <c r="AL112" s="856"/>
      <c r="AM112" s="856"/>
      <c r="AN112" s="852"/>
      <c r="AO112" s="853">
        <f>Application!B740</f>
        <v>0</v>
      </c>
      <c r="AQ112" s="853">
        <f>Application!O740</f>
        <v>0</v>
      </c>
    </row>
    <row r="113" spans="1:52" s="853" customFormat="1" ht="12.75" customHeight="1">
      <c r="A113" s="856"/>
      <c r="B113" s="877"/>
      <c r="C113" s="856"/>
      <c r="D113" s="856"/>
      <c r="E113" s="1397"/>
      <c r="F113" s="1393"/>
      <c r="G113" s="1393"/>
      <c r="H113" s="1393"/>
      <c r="I113" s="1394"/>
      <c r="J113" s="1393"/>
      <c r="K113" s="1393"/>
      <c r="L113" s="1393"/>
      <c r="M113" s="1393"/>
      <c r="N113" s="1394"/>
      <c r="O113" s="1393"/>
      <c r="P113" s="1393"/>
      <c r="Q113" s="1393"/>
      <c r="R113" s="1393"/>
      <c r="S113" s="1394"/>
      <c r="T113" s="1393"/>
      <c r="U113" s="1393"/>
      <c r="V113" s="1393"/>
      <c r="W113" s="1393"/>
      <c r="X113" s="1394"/>
      <c r="Y113" s="1393"/>
      <c r="Z113" s="1393"/>
      <c r="AA113" s="1393"/>
      <c r="AB113" s="1393"/>
      <c r="AC113" s="1394"/>
      <c r="AD113" s="1393"/>
      <c r="AE113" s="1393"/>
      <c r="AF113" s="1393"/>
      <c r="AG113" s="1393"/>
      <c r="AH113" s="1394"/>
      <c r="AI113" s="1394"/>
      <c r="AJ113" s="1395"/>
      <c r="AK113" s="856"/>
      <c r="AL113" s="856"/>
      <c r="AM113" s="856"/>
      <c r="AN113" s="852"/>
      <c r="AO113" s="853">
        <f>Application!B741</f>
        <v>0</v>
      </c>
      <c r="AQ113" s="853">
        <f>Application!O741</f>
        <v>0</v>
      </c>
    </row>
    <row r="114" spans="1:52" s="853" customFormat="1" ht="12.75" customHeight="1">
      <c r="A114" s="856"/>
      <c r="B114" s="877"/>
      <c r="C114" s="856"/>
      <c r="D114" s="856"/>
      <c r="E114" s="1398" t="s">
        <v>2001</v>
      </c>
      <c r="F114" s="1393"/>
      <c r="G114" s="1393"/>
      <c r="H114" s="1393"/>
      <c r="I114" s="1394"/>
      <c r="J114" s="1393"/>
      <c r="K114" s="1393"/>
      <c r="L114" s="1393"/>
      <c r="M114" s="1393"/>
      <c r="N114" s="1394"/>
      <c r="O114" s="1393"/>
      <c r="P114" s="1393"/>
      <c r="Q114" s="1393"/>
      <c r="R114" s="1393"/>
      <c r="S114" s="1394"/>
      <c r="T114" s="1393"/>
      <c r="U114" s="1393"/>
      <c r="V114" s="1393"/>
      <c r="W114" s="1393"/>
      <c r="X114" s="1394"/>
      <c r="Y114" s="1393"/>
      <c r="Z114" s="1393"/>
      <c r="AA114" s="1393"/>
      <c r="AB114" s="1393"/>
      <c r="AC114" s="1394"/>
      <c r="AD114" s="1393"/>
      <c r="AE114" s="1393"/>
      <c r="AF114" s="1393"/>
      <c r="AG114" s="1393"/>
      <c r="AH114" s="1394"/>
      <c r="AI114" s="1394"/>
      <c r="AJ114" s="1395"/>
      <c r="AK114" s="856"/>
      <c r="AL114" s="856"/>
      <c r="AM114" s="856"/>
      <c r="AN114" s="852"/>
      <c r="AO114" s="853">
        <f>Application!B742</f>
        <v>0</v>
      </c>
      <c r="AQ114" s="853">
        <f>Application!O742</f>
        <v>0</v>
      </c>
    </row>
    <row r="115" spans="1:52" s="853" customFormat="1" ht="12.75" customHeight="1">
      <c r="A115" s="856"/>
      <c r="B115" s="877"/>
      <c r="C115" s="856"/>
      <c r="D115" s="856"/>
      <c r="E115" s="2945"/>
      <c r="F115" s="2946"/>
      <c r="G115" s="2946"/>
      <c r="H115" s="2946"/>
      <c r="I115" s="1396"/>
      <c r="J115" s="2946">
        <v>1758</v>
      </c>
      <c r="K115" s="2946"/>
      <c r="L115" s="2946"/>
      <c r="M115" s="2946"/>
      <c r="N115" s="1396"/>
      <c r="O115" s="2946">
        <v>1987</v>
      </c>
      <c r="P115" s="2946"/>
      <c r="Q115" s="2946"/>
      <c r="R115" s="2946"/>
      <c r="S115" s="1396"/>
      <c r="T115" s="2946">
        <v>2524</v>
      </c>
      <c r="U115" s="2946"/>
      <c r="V115" s="2946"/>
      <c r="W115" s="2946"/>
      <c r="X115" s="1396"/>
      <c r="Y115" s="2946"/>
      <c r="Z115" s="2946"/>
      <c r="AA115" s="2946"/>
      <c r="AB115" s="2946"/>
      <c r="AC115" s="1396"/>
      <c r="AD115" s="2946"/>
      <c r="AE115" s="2946"/>
      <c r="AF115" s="2946"/>
      <c r="AG115" s="2946"/>
      <c r="AH115" s="1394"/>
      <c r="AI115" s="1394"/>
      <c r="AJ115" s="1395"/>
      <c r="AK115" s="856"/>
      <c r="AL115" s="856"/>
      <c r="AM115" s="856"/>
      <c r="AN115" s="852"/>
      <c r="AO115" s="853">
        <f>Application!B743</f>
        <v>0</v>
      </c>
      <c r="AQ115" s="853">
        <f>Application!O743</f>
        <v>0</v>
      </c>
    </row>
    <row r="116" spans="1:52" s="853" customFormat="1" ht="12.75" customHeight="1">
      <c r="A116" s="856"/>
      <c r="B116" s="877"/>
      <c r="C116" s="856"/>
      <c r="D116" s="856"/>
      <c r="E116" s="1397"/>
      <c r="F116" s="1393"/>
      <c r="G116" s="1393"/>
      <c r="H116" s="1393"/>
      <c r="I116" s="1394"/>
      <c r="J116" s="1393"/>
      <c r="K116" s="1393"/>
      <c r="L116" s="1393"/>
      <c r="M116" s="1393"/>
      <c r="N116" s="1394"/>
      <c r="O116" s="1393"/>
      <c r="P116" s="1393"/>
      <c r="Q116" s="1393"/>
      <c r="R116" s="1393"/>
      <c r="S116" s="1394"/>
      <c r="T116" s="1393"/>
      <c r="U116" s="1393"/>
      <c r="V116" s="1393"/>
      <c r="W116" s="1393"/>
      <c r="X116" s="1394"/>
      <c r="Y116" s="1393"/>
      <c r="Z116" s="1393"/>
      <c r="AA116" s="1393"/>
      <c r="AB116" s="1393"/>
      <c r="AC116" s="1394"/>
      <c r="AD116" s="1393"/>
      <c r="AE116" s="1393"/>
      <c r="AF116" s="1393"/>
      <c r="AG116" s="1393"/>
      <c r="AH116" s="1394"/>
      <c r="AI116" s="1394"/>
      <c r="AJ116" s="1395"/>
      <c r="AK116" s="856"/>
      <c r="AL116" s="856"/>
      <c r="AM116" s="856"/>
      <c r="AN116" s="852"/>
      <c r="AO116" s="853">
        <f>Application!B744</f>
        <v>0</v>
      </c>
      <c r="AQ116" s="853">
        <f>Application!O744</f>
        <v>0</v>
      </c>
      <c r="AU116" s="1662"/>
      <c r="AV116" s="1662"/>
      <c r="AW116" s="1662"/>
      <c r="AX116" s="1662"/>
      <c r="AY116" s="1662"/>
      <c r="AZ116" s="1662"/>
    </row>
    <row r="117" spans="1:52" s="853" customFormat="1" ht="12.75" customHeight="1">
      <c r="A117" s="856"/>
      <c r="B117" s="877"/>
      <c r="C117" s="856"/>
      <c r="D117" s="856"/>
      <c r="E117" s="1398" t="s">
        <v>2438</v>
      </c>
      <c r="F117" s="1393"/>
      <c r="G117" s="1393"/>
      <c r="H117" s="1393"/>
      <c r="I117" s="1394"/>
      <c r="J117" s="1393"/>
      <c r="K117" s="1393"/>
      <c r="L117" s="1393"/>
      <c r="M117" s="1393"/>
      <c r="N117" s="1394"/>
      <c r="O117" s="1393"/>
      <c r="P117" s="1393"/>
      <c r="Q117" s="1393"/>
      <c r="R117" s="1393"/>
      <c r="S117" s="1394"/>
      <c r="T117" s="1393"/>
      <c r="U117" s="1393"/>
      <c r="V117" s="1393"/>
      <c r="W117" s="1393"/>
      <c r="X117" s="1394"/>
      <c r="Y117" s="1393"/>
      <c r="Z117" s="1393"/>
      <c r="AA117" s="1393"/>
      <c r="AB117" s="1393"/>
      <c r="AC117" s="1394"/>
      <c r="AD117" s="1393"/>
      <c r="AE117" s="1393"/>
      <c r="AF117" s="1393"/>
      <c r="AG117" s="1393"/>
      <c r="AH117" s="1394"/>
      <c r="AI117" s="1394"/>
      <c r="AJ117" s="1395"/>
      <c r="AK117" s="856"/>
      <c r="AL117" s="856"/>
      <c r="AM117" s="856"/>
      <c r="AN117" s="852"/>
      <c r="AO117" s="853">
        <f>Application!B745</f>
        <v>0</v>
      </c>
      <c r="AQ117" s="853">
        <f>Application!O745</f>
        <v>0</v>
      </c>
      <c r="AU117" s="1662"/>
      <c r="AV117" s="1662"/>
      <c r="AW117" s="1662"/>
      <c r="AX117" s="1662"/>
      <c r="AY117" s="1662"/>
      <c r="AZ117" s="1662"/>
    </row>
    <row r="118" spans="1:52" s="853" customFormat="1" ht="12.75" customHeight="1">
      <c r="A118" s="856"/>
      <c r="B118" s="855"/>
      <c r="C118" s="856"/>
      <c r="D118" s="856"/>
      <c r="E118" s="2947">
        <f>Application!DX663</f>
        <v>0</v>
      </c>
      <c r="F118" s="2895"/>
      <c r="G118" s="2895"/>
      <c r="H118" s="2895"/>
      <c r="I118" s="1396"/>
      <c r="J118" s="2895">
        <f>Application!EC663</f>
        <v>739.5</v>
      </c>
      <c r="K118" s="2895"/>
      <c r="L118" s="2895"/>
      <c r="M118" s="2895"/>
      <c r="N118" s="1396"/>
      <c r="O118" s="2895">
        <f>Application!EH663</f>
        <v>1084.2666666666667</v>
      </c>
      <c r="P118" s="2895"/>
      <c r="Q118" s="2895"/>
      <c r="R118" s="2895"/>
      <c r="S118" s="1400"/>
      <c r="T118" s="2895">
        <f>Application!EM663</f>
        <v>1260.8709677419356</v>
      </c>
      <c r="U118" s="2895"/>
      <c r="V118" s="2895"/>
      <c r="W118" s="2895"/>
      <c r="X118" s="1400"/>
      <c r="Y118" s="2895">
        <f>Application!ER663</f>
        <v>0</v>
      </c>
      <c r="Z118" s="2895"/>
      <c r="AA118" s="2895"/>
      <c r="AB118" s="2895"/>
      <c r="AC118" s="1400"/>
      <c r="AD118" s="2895">
        <f>Application!EW663</f>
        <v>0</v>
      </c>
      <c r="AE118" s="2895"/>
      <c r="AF118" s="2895"/>
      <c r="AG118" s="2895"/>
      <c r="AH118" s="894"/>
      <c r="AI118" s="894"/>
      <c r="AJ118" s="896"/>
      <c r="AK118" s="856"/>
      <c r="AL118" s="856"/>
      <c r="AM118" s="856"/>
      <c r="AN118" s="852"/>
      <c r="AO118" s="853">
        <f>Application!B746</f>
        <v>0</v>
      </c>
      <c r="AQ118" s="853">
        <f>Application!O746</f>
        <v>0</v>
      </c>
      <c r="AU118" s="1662"/>
      <c r="AV118" s="1662"/>
      <c r="AW118" s="1663"/>
      <c r="AX118" s="1663"/>
      <c r="AY118" s="1662"/>
      <c r="AZ118" s="1662"/>
    </row>
    <row r="119" spans="1:52" s="853" customFormat="1" ht="12.75" customHeight="1">
      <c r="A119" s="856"/>
      <c r="B119" s="855"/>
      <c r="C119" s="856"/>
      <c r="D119" s="856"/>
      <c r="E119" s="1399"/>
      <c r="F119" s="1393"/>
      <c r="G119" s="1393"/>
      <c r="H119" s="1393"/>
      <c r="I119" s="894"/>
      <c r="J119" s="897"/>
      <c r="K119" s="894"/>
      <c r="L119" s="894"/>
      <c r="M119" s="894"/>
      <c r="N119" s="894"/>
      <c r="O119" s="894"/>
      <c r="P119" s="894"/>
      <c r="Q119" s="894"/>
      <c r="R119" s="894"/>
      <c r="S119" s="894"/>
      <c r="T119" s="894"/>
      <c r="U119" s="894"/>
      <c r="V119" s="894"/>
      <c r="W119" s="894"/>
      <c r="X119" s="894"/>
      <c r="Y119" s="894"/>
      <c r="Z119" s="894"/>
      <c r="AA119" s="894"/>
      <c r="AB119" s="894"/>
      <c r="AC119" s="894"/>
      <c r="AD119" s="894"/>
      <c r="AE119" s="894"/>
      <c r="AF119" s="894"/>
      <c r="AG119" s="894"/>
      <c r="AH119" s="894"/>
      <c r="AI119" s="894"/>
      <c r="AJ119" s="896"/>
      <c r="AK119" s="856"/>
      <c r="AL119" s="856"/>
      <c r="AM119" s="856"/>
      <c r="AN119" s="852"/>
      <c r="AO119" s="853">
        <f>Application!B747</f>
        <v>0</v>
      </c>
      <c r="AQ119" s="853">
        <f>Application!O747</f>
        <v>0</v>
      </c>
      <c r="AU119" s="1662"/>
      <c r="AV119" s="1662"/>
      <c r="AW119" s="1663"/>
      <c r="AX119" s="1663"/>
      <c r="AY119" s="1662"/>
      <c r="AZ119" s="1662"/>
    </row>
    <row r="120" spans="1:52" s="853" customFormat="1" ht="12.75" customHeight="1">
      <c r="A120" s="856"/>
      <c r="B120" s="855"/>
      <c r="C120" s="856"/>
      <c r="D120" s="856"/>
      <c r="E120" s="1398" t="s">
        <v>2439</v>
      </c>
      <c r="F120" s="1393"/>
      <c r="G120" s="1393"/>
      <c r="H120" s="1393"/>
      <c r="I120" s="894"/>
      <c r="J120" s="897"/>
      <c r="K120" s="894"/>
      <c r="L120" s="894"/>
      <c r="M120" s="894"/>
      <c r="N120" s="894"/>
      <c r="O120" s="894"/>
      <c r="P120" s="894"/>
      <c r="Q120" s="894"/>
      <c r="R120" s="894"/>
      <c r="S120" s="894"/>
      <c r="T120" s="894"/>
      <c r="U120" s="894"/>
      <c r="V120" s="894"/>
      <c r="W120" s="894"/>
      <c r="X120" s="894"/>
      <c r="Y120" s="894"/>
      <c r="Z120" s="894"/>
      <c r="AA120" s="894"/>
      <c r="AB120" s="894"/>
      <c r="AC120" s="894"/>
      <c r="AD120" s="894"/>
      <c r="AE120" s="894"/>
      <c r="AF120" s="894"/>
      <c r="AG120" s="894"/>
      <c r="AH120" s="894"/>
      <c r="AI120" s="894"/>
      <c r="AJ120" s="896"/>
      <c r="AK120" s="856"/>
      <c r="AL120" s="856"/>
      <c r="AM120" s="856"/>
      <c r="AN120" s="852"/>
      <c r="AO120" s="853">
        <f>Application!B748</f>
        <v>0</v>
      </c>
      <c r="AQ120" s="853">
        <f>Application!O748</f>
        <v>0</v>
      </c>
      <c r="AU120" s="1662"/>
      <c r="AV120" s="1662"/>
      <c r="AW120" s="1663"/>
      <c r="AX120" s="1663"/>
      <c r="AY120" s="1662"/>
      <c r="AZ120" s="1662"/>
    </row>
    <row r="121" spans="1:52" s="853" customFormat="1" ht="12.75" customHeight="1">
      <c r="A121" s="856"/>
      <c r="B121" s="855"/>
      <c r="C121" s="856"/>
      <c r="D121" s="856"/>
      <c r="E121" s="3146" t="e">
        <f>(E115-E118)/E115</f>
        <v>#DIV/0!</v>
      </c>
      <c r="F121" s="3147"/>
      <c r="G121" s="3147"/>
      <c r="H121" s="3148"/>
      <c r="I121" s="894"/>
      <c r="J121" s="3146">
        <f>(J115-J118)/J115</f>
        <v>0.57935153583617749</v>
      </c>
      <c r="K121" s="3147"/>
      <c r="L121" s="3147"/>
      <c r="M121" s="3148"/>
      <c r="N121" s="894"/>
      <c r="O121" s="3146">
        <f>(O115-O118)/O115</f>
        <v>0.45431974500922667</v>
      </c>
      <c r="P121" s="3147"/>
      <c r="Q121" s="3147"/>
      <c r="R121" s="3148"/>
      <c r="S121" s="894"/>
      <c r="T121" s="3146">
        <f>(T115-T118)/T115</f>
        <v>0.50044731864424108</v>
      </c>
      <c r="U121" s="3147"/>
      <c r="V121" s="3147"/>
      <c r="W121" s="3148"/>
      <c r="X121" s="894"/>
      <c r="Y121" s="3146" t="e">
        <f>(Y115-Y118)/Y115</f>
        <v>#DIV/0!</v>
      </c>
      <c r="Z121" s="3147"/>
      <c r="AA121" s="3147"/>
      <c r="AB121" s="3148"/>
      <c r="AC121" s="894"/>
      <c r="AD121" s="3146" t="e">
        <f>(AD115-AD118)/AD115</f>
        <v>#DIV/0!</v>
      </c>
      <c r="AE121" s="3147"/>
      <c r="AF121" s="3147"/>
      <c r="AG121" s="3148"/>
      <c r="AH121" s="894"/>
      <c r="AI121" s="894"/>
      <c r="AJ121" s="896"/>
      <c r="AK121" s="856"/>
      <c r="AL121" s="856"/>
      <c r="AM121" s="856"/>
      <c r="AN121" s="852"/>
      <c r="AO121" s="853">
        <f>Application!B749</f>
        <v>0</v>
      </c>
      <c r="AQ121" s="853">
        <f>Application!O749</f>
        <v>0</v>
      </c>
      <c r="AU121" s="1662"/>
      <c r="AV121" s="1662"/>
      <c r="AW121" s="1663"/>
      <c r="AX121" s="1663"/>
      <c r="AY121" s="1662"/>
      <c r="AZ121" s="1662"/>
    </row>
    <row r="122" spans="1:52" s="853" customFormat="1" ht="12.75" customHeight="1">
      <c r="A122" s="856"/>
      <c r="B122" s="855"/>
      <c r="C122" s="856"/>
      <c r="D122" s="856"/>
      <c r="E122" s="1642"/>
      <c r="F122" s="1641"/>
      <c r="G122" s="1641"/>
      <c r="H122" s="1641"/>
      <c r="I122" s="894"/>
      <c r="J122" s="1641"/>
      <c r="K122" s="1641"/>
      <c r="L122" s="1641"/>
      <c r="M122" s="1641"/>
      <c r="N122" s="894"/>
      <c r="O122" s="1641"/>
      <c r="P122" s="1641"/>
      <c r="Q122" s="1641"/>
      <c r="R122" s="1641"/>
      <c r="S122" s="894"/>
      <c r="T122" s="1641"/>
      <c r="U122" s="1641"/>
      <c r="V122" s="1641"/>
      <c r="W122" s="1641"/>
      <c r="X122" s="894"/>
      <c r="Y122" s="1641"/>
      <c r="Z122" s="1641"/>
      <c r="AA122" s="1641"/>
      <c r="AB122" s="1641"/>
      <c r="AC122" s="894"/>
      <c r="AD122" s="1641"/>
      <c r="AE122" s="1641"/>
      <c r="AF122" s="1641"/>
      <c r="AG122" s="1641"/>
      <c r="AH122" s="894"/>
      <c r="AI122" s="894"/>
      <c r="AJ122" s="896"/>
      <c r="AK122" s="856"/>
      <c r="AL122" s="856"/>
      <c r="AM122" s="856"/>
      <c r="AN122" s="852"/>
      <c r="AO122" s="853">
        <f>Application!B750</f>
        <v>0</v>
      </c>
      <c r="AQ122" s="853">
        <f>Application!O750</f>
        <v>0</v>
      </c>
      <c r="AU122" s="1662"/>
      <c r="AV122" s="1662"/>
      <c r="AW122" s="1663"/>
      <c r="AX122" s="1663"/>
      <c r="AY122" s="1662"/>
      <c r="AZ122" s="1662"/>
    </row>
    <row r="123" spans="1:52" s="853" customFormat="1" ht="12.75" customHeight="1">
      <c r="A123" s="856"/>
      <c r="B123" s="855"/>
      <c r="C123" s="856"/>
      <c r="D123" s="856"/>
      <c r="E123" s="1643" t="s">
        <v>2440</v>
      </c>
      <c r="F123" s="1641"/>
      <c r="G123" s="1641"/>
      <c r="H123" s="1641"/>
      <c r="I123" s="894"/>
      <c r="J123" s="1641"/>
      <c r="K123" s="1641"/>
      <c r="L123" s="1641"/>
      <c r="M123" s="1641"/>
      <c r="N123" s="894"/>
      <c r="O123" s="1641"/>
      <c r="P123" s="1641"/>
      <c r="Q123" s="1641"/>
      <c r="R123" s="1641"/>
      <c r="S123" s="894"/>
      <c r="T123" s="1641"/>
      <c r="U123" s="1641"/>
      <c r="V123" s="1641"/>
      <c r="W123" s="1641"/>
      <c r="X123" s="894"/>
      <c r="Y123" s="1641"/>
      <c r="Z123" s="1641"/>
      <c r="AA123" s="1641"/>
      <c r="AB123" s="1641"/>
      <c r="AC123" s="894"/>
      <c r="AD123" s="1641"/>
      <c r="AE123" s="1641"/>
      <c r="AF123" s="1641"/>
      <c r="AG123" s="1641"/>
      <c r="AH123" s="894"/>
      <c r="AI123" s="894"/>
      <c r="AJ123" s="896"/>
      <c r="AK123" s="856"/>
      <c r="AL123" s="856"/>
      <c r="AM123" s="856"/>
      <c r="AN123" s="852"/>
      <c r="AO123" s="853">
        <f>Application!B751</f>
        <v>0</v>
      </c>
      <c r="AQ123" s="853">
        <f>Application!O751</f>
        <v>0</v>
      </c>
      <c r="AU123" s="1663"/>
      <c r="AV123" s="1662"/>
      <c r="AW123" s="1663"/>
      <c r="AX123" s="1663"/>
      <c r="AY123" s="1662"/>
      <c r="AZ123" s="1662"/>
    </row>
    <row r="124" spans="1:52" s="853" customFormat="1" ht="12.75" customHeight="1">
      <c r="A124" s="856"/>
      <c r="B124" s="855"/>
      <c r="C124" s="856"/>
      <c r="D124" s="856"/>
      <c r="E124" s="2892" t="e">
        <f>IF(((E121-0.1)*AW104)&gt;0,((E121-0.1)*AW104),0)</f>
        <v>#DIV/0!</v>
      </c>
      <c r="F124" s="2893"/>
      <c r="G124" s="2893"/>
      <c r="H124" s="2894"/>
      <c r="I124" s="894"/>
      <c r="J124" s="2892">
        <f>IF(((J121-0.1)*AW105)&gt;0,((J121-0.1)*AW105),0)</f>
        <v>2.949855605145708E-2</v>
      </c>
      <c r="K124" s="2893"/>
      <c r="L124" s="2893"/>
      <c r="M124" s="2894"/>
      <c r="N124" s="894"/>
      <c r="O124" s="2892">
        <f>IF(((O121-0.1)*AW106)&gt;0,((O121-0.1)*AW106),0)</f>
        <v>0.16353219000425848</v>
      </c>
      <c r="P124" s="2893"/>
      <c r="Q124" s="2893"/>
      <c r="R124" s="2894"/>
      <c r="S124" s="894"/>
      <c r="T124" s="2892">
        <f>IF(((T121-0.1)*AW107)&gt;0,((T121-0.1)*AW107),0)</f>
        <v>0.1909825673534073</v>
      </c>
      <c r="U124" s="2893"/>
      <c r="V124" s="2893"/>
      <c r="W124" s="2894"/>
      <c r="X124" s="894"/>
      <c r="Y124" s="2892" t="e">
        <f>IF(((Y121-0.1)*AW108)&gt;0,((Y121-0.1)*AW108),0)</f>
        <v>#DIV/0!</v>
      </c>
      <c r="Z124" s="2893"/>
      <c r="AA124" s="2893"/>
      <c r="AB124" s="2894"/>
      <c r="AC124" s="894"/>
      <c r="AD124" s="2892" t="e">
        <f>IF(((AD121-0.1)*AW109)&gt;0,((AD121-0.1)*AW109),0)</f>
        <v>#DIV/0!</v>
      </c>
      <c r="AE124" s="2893"/>
      <c r="AF124" s="2893"/>
      <c r="AG124" s="2894"/>
      <c r="AH124" s="894"/>
      <c r="AI124" s="894"/>
      <c r="AJ124" s="896"/>
      <c r="AK124" s="856"/>
      <c r="AL124" s="856"/>
      <c r="AM124" s="856"/>
      <c r="AN124" s="852"/>
      <c r="AO124" s="853">
        <f>Application!B752</f>
        <v>0</v>
      </c>
      <c r="AQ124" s="853">
        <f>Application!O752</f>
        <v>0</v>
      </c>
      <c r="AU124" s="1662"/>
      <c r="AV124" s="1662"/>
      <c r="AW124" s="1662"/>
      <c r="AX124" s="1663"/>
      <c r="AY124" s="1662"/>
      <c r="AZ124" s="1662"/>
    </row>
    <row r="125" spans="1:52" s="853" customFormat="1" ht="12.75" customHeight="1">
      <c r="A125" s="856"/>
      <c r="B125" s="855"/>
      <c r="C125" s="856"/>
      <c r="D125" s="856"/>
      <c r="E125" s="1399"/>
      <c r="F125" s="1393"/>
      <c r="G125" s="1393"/>
      <c r="H125" s="1393"/>
      <c r="I125" s="894"/>
      <c r="J125" s="897"/>
      <c r="K125" s="894"/>
      <c r="L125" s="894"/>
      <c r="M125" s="894"/>
      <c r="N125" s="894"/>
      <c r="O125" s="894"/>
      <c r="P125" s="894"/>
      <c r="Q125" s="894"/>
      <c r="R125" s="894"/>
      <c r="S125" s="894"/>
      <c r="T125" s="894"/>
      <c r="U125" s="894"/>
      <c r="V125" s="894"/>
      <c r="W125" s="894"/>
      <c r="X125" s="894"/>
      <c r="Y125" s="894"/>
      <c r="Z125" s="894"/>
      <c r="AA125" s="894"/>
      <c r="AB125" s="894"/>
      <c r="AC125" s="894"/>
      <c r="AD125" s="894"/>
      <c r="AE125" s="894"/>
      <c r="AF125" s="894"/>
      <c r="AG125" s="894"/>
      <c r="AH125" s="894"/>
      <c r="AI125" s="894"/>
      <c r="AJ125" s="896"/>
      <c r="AK125" s="856"/>
      <c r="AL125" s="856"/>
      <c r="AM125" s="856"/>
      <c r="AN125" s="852"/>
      <c r="AU125" s="1662"/>
      <c r="AV125" s="1662"/>
      <c r="AW125" s="1662"/>
      <c r="AX125" s="1662"/>
      <c r="AY125" s="1662"/>
      <c r="AZ125" s="1662"/>
    </row>
    <row r="126" spans="1:52" s="853" customFormat="1" ht="12.75" customHeight="1">
      <c r="A126" s="856"/>
      <c r="B126" s="855"/>
      <c r="C126" s="856"/>
      <c r="D126" s="856"/>
      <c r="E126" s="3146">
        <f>ROUNDDOWN(SUMIF(E124:AG124,"&gt;0"),2)</f>
        <v>0.38</v>
      </c>
      <c r="F126" s="3147"/>
      <c r="G126" s="3147"/>
      <c r="H126" s="3148"/>
      <c r="I126" s="1394"/>
      <c r="J126" s="1401" t="s">
        <v>2441</v>
      </c>
      <c r="K126" s="1394"/>
      <c r="L126" s="1394"/>
      <c r="M126" s="1394"/>
      <c r="N126" s="1394"/>
      <c r="O126" s="1394"/>
      <c r="P126" s="894"/>
      <c r="Q126" s="894"/>
      <c r="R126" s="894"/>
      <c r="S126" s="894"/>
      <c r="T126" s="894"/>
      <c r="U126" s="894"/>
      <c r="V126" s="894"/>
      <c r="W126" s="894"/>
      <c r="X126" s="894"/>
      <c r="Y126" s="894"/>
      <c r="Z126" s="894"/>
      <c r="AA126" s="894"/>
      <c r="AB126" s="894"/>
      <c r="AC126" s="894"/>
      <c r="AD126" s="1402"/>
      <c r="AE126" s="1402"/>
      <c r="AF126" s="1402"/>
      <c r="AG126" s="1402"/>
      <c r="AH126" s="894"/>
      <c r="AI126" s="894"/>
      <c r="AJ126" s="896"/>
      <c r="AK126" s="856"/>
      <c r="AL126" s="856"/>
      <c r="AM126" s="856"/>
      <c r="AN126" s="852"/>
      <c r="AU126" s="1662"/>
      <c r="AV126" s="1662"/>
      <c r="AW126" s="1662"/>
      <c r="AX126" s="1663"/>
      <c r="AY126" s="1662"/>
      <c r="AZ126" s="1662"/>
    </row>
    <row r="127" spans="1:52" s="853" customFormat="1" ht="12.75" customHeight="1">
      <c r="A127" s="856"/>
      <c r="B127" s="855"/>
      <c r="C127" s="856"/>
      <c r="D127" s="856"/>
      <c r="E127" s="2923">
        <f>IF((E126*100)&gt;10,10,E126*100)</f>
        <v>10</v>
      </c>
      <c r="F127" s="2924"/>
      <c r="G127" s="2924"/>
      <c r="H127" s="2925"/>
      <c r="I127" s="894"/>
      <c r="J127" s="897" t="s">
        <v>1614</v>
      </c>
      <c r="K127" s="894"/>
      <c r="L127" s="894"/>
      <c r="M127" s="894"/>
      <c r="N127" s="894"/>
      <c r="O127" s="894"/>
      <c r="P127" s="894"/>
      <c r="Q127" s="894"/>
      <c r="R127" s="894"/>
      <c r="S127" s="894"/>
      <c r="T127" s="894"/>
      <c r="U127" s="894"/>
      <c r="V127" s="894"/>
      <c r="W127" s="894"/>
      <c r="X127" s="894"/>
      <c r="Y127" s="894"/>
      <c r="Z127" s="894"/>
      <c r="AA127" s="894"/>
      <c r="AB127" s="894"/>
      <c r="AC127" s="894"/>
      <c r="AD127" s="894"/>
      <c r="AE127" s="894"/>
      <c r="AF127" s="894"/>
      <c r="AG127" s="894"/>
      <c r="AH127" s="894"/>
      <c r="AI127" s="894"/>
      <c r="AJ127" s="896"/>
      <c r="AK127" s="856"/>
      <c r="AL127" s="856"/>
      <c r="AM127" s="856"/>
      <c r="AN127" s="852"/>
      <c r="AU127" s="1662"/>
      <c r="AV127" s="1662"/>
      <c r="AW127" s="1662"/>
      <c r="AX127" s="1662"/>
      <c r="AY127" s="1662"/>
      <c r="AZ127" s="1662"/>
    </row>
    <row r="128" spans="1:52" s="853" customFormat="1" ht="12.75" customHeight="1">
      <c r="A128" s="856"/>
      <c r="B128" s="856"/>
      <c r="C128" s="856"/>
      <c r="D128" s="856"/>
      <c r="E128" s="905"/>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c r="AB128" s="906"/>
      <c r="AC128" s="906"/>
      <c r="AD128" s="906"/>
      <c r="AE128" s="906"/>
      <c r="AF128" s="906"/>
      <c r="AG128" s="906"/>
      <c r="AH128" s="906"/>
      <c r="AI128" s="906"/>
      <c r="AJ128" s="907"/>
      <c r="AK128" s="856"/>
      <c r="AL128" s="856"/>
      <c r="AM128" s="856"/>
      <c r="AN128" s="852"/>
      <c r="AT128" s="1636"/>
      <c r="AU128" s="1662"/>
      <c r="AV128" s="1662"/>
      <c r="AW128" s="1663"/>
      <c r="AX128" s="1662"/>
      <c r="AY128" s="1662"/>
      <c r="AZ128" s="1662"/>
    </row>
    <row r="129" spans="1:52" s="853" customFormat="1" ht="12.75" customHeight="1">
      <c r="A129" s="856"/>
      <c r="B129" s="856"/>
      <c r="C129" s="856"/>
      <c r="D129" s="856"/>
      <c r="E129" s="856"/>
      <c r="F129" s="856"/>
      <c r="G129" s="856"/>
      <c r="H129" s="856"/>
      <c r="I129" s="856"/>
      <c r="J129" s="856"/>
      <c r="K129" s="856"/>
      <c r="L129" s="856"/>
      <c r="M129" s="856"/>
      <c r="N129" s="856"/>
      <c r="O129" s="856"/>
      <c r="P129" s="856"/>
      <c r="Q129" s="856"/>
      <c r="R129" s="856"/>
      <c r="S129" s="856"/>
      <c r="T129" s="856"/>
      <c r="U129" s="856"/>
      <c r="V129" s="856"/>
      <c r="W129" s="856"/>
      <c r="X129" s="856"/>
      <c r="Y129" s="856"/>
      <c r="Z129" s="856"/>
      <c r="AA129" s="856"/>
      <c r="AB129" s="856"/>
      <c r="AC129" s="856"/>
      <c r="AD129" s="856"/>
      <c r="AE129" s="856"/>
      <c r="AF129" s="856"/>
      <c r="AG129" s="856"/>
      <c r="AH129" s="856"/>
      <c r="AI129" s="856"/>
      <c r="AJ129" s="856"/>
      <c r="AK129" s="856"/>
      <c r="AL129" s="856"/>
      <c r="AM129" s="856"/>
      <c r="AN129" s="852"/>
      <c r="AU129" s="1662"/>
      <c r="AV129" s="1662"/>
      <c r="AW129" s="1662"/>
      <c r="AX129" s="1662"/>
      <c r="AY129" s="1662"/>
      <c r="AZ129" s="1662"/>
    </row>
    <row r="130" spans="1:52" s="853" customFormat="1" ht="12.75" customHeight="1">
      <c r="A130" s="856"/>
      <c r="B130" s="856"/>
      <c r="C130" s="856"/>
      <c r="D130" s="856"/>
      <c r="E130" s="856"/>
      <c r="F130" s="856"/>
      <c r="G130" s="856"/>
      <c r="H130" s="856"/>
      <c r="I130" s="856"/>
      <c r="J130" s="856"/>
      <c r="K130" s="856"/>
      <c r="L130" s="856"/>
      <c r="M130" s="856"/>
      <c r="N130" s="856"/>
      <c r="O130" s="856"/>
      <c r="P130" s="856"/>
      <c r="Q130" s="856"/>
      <c r="R130" s="856"/>
      <c r="S130" s="856"/>
      <c r="T130" s="856"/>
      <c r="U130" s="856"/>
      <c r="V130" s="856"/>
      <c r="W130" s="856"/>
      <c r="X130" s="856"/>
      <c r="Y130" s="856"/>
      <c r="Z130" s="856"/>
      <c r="AA130" s="856"/>
      <c r="AB130" s="856"/>
      <c r="AC130" s="856"/>
      <c r="AD130" s="856"/>
      <c r="AE130" s="856"/>
      <c r="AF130" s="856"/>
      <c r="AG130" s="856"/>
      <c r="AH130" s="856"/>
      <c r="AI130" s="856"/>
      <c r="AJ130" s="856"/>
      <c r="AK130" s="856"/>
      <c r="AL130" s="856"/>
      <c r="AM130" s="856"/>
      <c r="AN130" s="852"/>
    </row>
    <row r="131" spans="1:52" s="853" customFormat="1" ht="12.75" customHeight="1">
      <c r="A131" s="878"/>
      <c r="B131" s="879"/>
      <c r="C131" s="879"/>
      <c r="D131" s="879"/>
      <c r="E131" s="879"/>
      <c r="F131" s="879"/>
      <c r="G131" s="880"/>
      <c r="H131" s="881"/>
      <c r="I131" s="881"/>
      <c r="J131" s="881"/>
      <c r="K131" s="881"/>
      <c r="L131" s="881"/>
      <c r="M131" s="881"/>
      <c r="N131" s="881"/>
      <c r="O131" s="881"/>
      <c r="P131" s="881"/>
      <c r="Q131" s="881"/>
      <c r="R131" s="881"/>
      <c r="S131" s="881"/>
      <c r="T131" s="881"/>
      <c r="U131" s="881"/>
      <c r="V131" s="881"/>
      <c r="W131" s="881"/>
      <c r="X131" s="881"/>
      <c r="Y131" s="881"/>
      <c r="Z131" s="881"/>
      <c r="AA131" s="881"/>
      <c r="AB131" s="881"/>
      <c r="AC131" s="881"/>
      <c r="AD131" s="881"/>
      <c r="AE131" s="881"/>
      <c r="AF131" s="881"/>
      <c r="AG131" s="881"/>
      <c r="AH131" s="881"/>
      <c r="AI131" s="882"/>
      <c r="AJ131" s="882" t="s">
        <v>1621</v>
      </c>
      <c r="AK131" s="2923">
        <f>E127</f>
        <v>10</v>
      </c>
      <c r="AL131" s="2924"/>
      <c r="AM131" s="2925"/>
      <c r="AN131" s="852"/>
    </row>
    <row r="132" spans="1:52" s="853" customFormat="1" ht="12.75" customHeight="1" thickBot="1">
      <c r="A132" s="883"/>
      <c r="B132" s="884"/>
      <c r="C132" s="885"/>
      <c r="D132" s="885"/>
      <c r="E132" s="885"/>
      <c r="F132" s="885"/>
      <c r="G132" s="885"/>
      <c r="H132" s="885"/>
      <c r="I132" s="885"/>
      <c r="J132" s="885"/>
      <c r="K132" s="885"/>
      <c r="L132" s="885"/>
      <c r="M132" s="885"/>
      <c r="N132" s="885"/>
      <c r="O132" s="885"/>
      <c r="P132" s="885"/>
      <c r="Q132" s="885"/>
      <c r="R132" s="885"/>
      <c r="S132" s="885"/>
      <c r="T132" s="885"/>
      <c r="U132" s="885"/>
      <c r="V132" s="885"/>
      <c r="W132" s="885"/>
      <c r="X132" s="885"/>
      <c r="Y132" s="885"/>
      <c r="Z132" s="885"/>
      <c r="AA132" s="885"/>
      <c r="AB132" s="885"/>
      <c r="AC132" s="885"/>
      <c r="AD132" s="885"/>
      <c r="AE132" s="885"/>
      <c r="AF132" s="885"/>
      <c r="AG132" s="885"/>
      <c r="AH132" s="885"/>
      <c r="AI132" s="885"/>
      <c r="AJ132" s="885"/>
      <c r="AK132" s="885"/>
      <c r="AL132" s="885"/>
      <c r="AM132" s="886"/>
      <c r="AN132" s="852"/>
    </row>
    <row r="133" spans="1:52" s="850" customFormat="1" ht="12.75" customHeight="1" thickTop="1">
      <c r="A133" s="887"/>
      <c r="B133" s="888"/>
      <c r="C133" s="889"/>
      <c r="D133" s="889"/>
      <c r="E133" s="889"/>
      <c r="F133" s="889"/>
      <c r="G133" s="889"/>
      <c r="H133" s="889"/>
      <c r="I133" s="890"/>
      <c r="J133" s="890"/>
      <c r="K133" s="890"/>
      <c r="L133" s="890"/>
      <c r="M133" s="890"/>
      <c r="N133" s="890"/>
      <c r="O133" s="890"/>
      <c r="P133" s="890"/>
      <c r="Q133" s="890"/>
      <c r="R133" s="887"/>
      <c r="S133" s="855"/>
      <c r="T133" s="855"/>
      <c r="U133" s="855"/>
      <c r="V133" s="855"/>
      <c r="W133" s="855"/>
      <c r="X133" s="855"/>
      <c r="Y133" s="855"/>
      <c r="Z133" s="855"/>
      <c r="AA133" s="855"/>
      <c r="AB133" s="855"/>
      <c r="AC133" s="855"/>
      <c r="AD133" s="855"/>
      <c r="AE133" s="855"/>
      <c r="AF133" s="887"/>
      <c r="AG133" s="855"/>
      <c r="AH133" s="855"/>
      <c r="AI133" s="855"/>
      <c r="AJ133" s="855"/>
      <c r="AK133" s="866"/>
      <c r="AL133" s="866"/>
      <c r="AM133" s="866"/>
      <c r="AN133" s="849"/>
      <c r="AO133" s="853"/>
    </row>
    <row r="134" spans="1:52" s="855" customFormat="1" ht="12.75" customHeight="1">
      <c r="A134" s="854" t="s">
        <v>1622</v>
      </c>
      <c r="AE134" s="2891" t="s">
        <v>1600</v>
      </c>
      <c r="AF134" s="2891"/>
      <c r="AG134" s="2891"/>
      <c r="AH134" s="2891"/>
      <c r="AI134" s="2891"/>
      <c r="AJ134" s="2891"/>
      <c r="AK134" s="2891"/>
      <c r="AL134" s="908"/>
      <c r="AM134" s="909"/>
      <c r="AN134" s="910"/>
      <c r="AO134" s="853"/>
    </row>
    <row r="135" spans="1:52" s="855" customFormat="1" ht="13.15" customHeight="1">
      <c r="A135" s="854"/>
      <c r="AE135" s="908"/>
      <c r="AF135" s="908"/>
      <c r="AG135" s="908"/>
      <c r="AH135" s="908"/>
      <c r="AI135" s="908"/>
      <c r="AJ135" s="908"/>
      <c r="AK135" s="908"/>
      <c r="AL135" s="908"/>
      <c r="AM135" s="909"/>
      <c r="AN135" s="910"/>
    </row>
    <row r="136" spans="1:52" s="850" customFormat="1" ht="12.75" customHeight="1">
      <c r="A136" s="854"/>
      <c r="B136" s="854" t="s">
        <v>1623</v>
      </c>
      <c r="C136" s="855"/>
      <c r="D136" s="855"/>
      <c r="E136" s="855"/>
      <c r="F136" s="855"/>
      <c r="G136" s="855"/>
      <c r="H136" s="855"/>
      <c r="I136" s="855"/>
      <c r="J136" s="855"/>
      <c r="K136" s="855"/>
      <c r="L136" s="855"/>
      <c r="M136" s="855"/>
      <c r="N136" s="855"/>
      <c r="O136" s="855"/>
      <c r="P136" s="855"/>
      <c r="Q136" s="855"/>
      <c r="R136" s="855"/>
      <c r="S136" s="855"/>
      <c r="T136" s="855"/>
      <c r="U136" s="855"/>
      <c r="V136" s="855"/>
      <c r="W136" s="855"/>
      <c r="X136" s="855"/>
      <c r="Y136" s="855"/>
      <c r="Z136" s="855"/>
      <c r="AA136" s="855"/>
      <c r="AB136" s="855"/>
      <c r="AC136" s="855"/>
      <c r="AD136" s="855"/>
      <c r="AF136" s="2941" t="s">
        <v>1624</v>
      </c>
      <c r="AG136" s="2941"/>
      <c r="AH136" s="2941"/>
      <c r="AI136" s="2941"/>
      <c r="AJ136" s="2941"/>
      <c r="AK136" s="2941"/>
      <c r="AL136" s="2941"/>
      <c r="AM136" s="909"/>
      <c r="AN136" s="849"/>
    </row>
    <row r="137" spans="1:52" s="850" customFormat="1" ht="12.75" customHeight="1">
      <c r="A137" s="854"/>
      <c r="B137" s="911" t="s">
        <v>567</v>
      </c>
      <c r="C137" s="939"/>
      <c r="D137" s="939"/>
      <c r="E137" s="939"/>
      <c r="F137" s="939"/>
      <c r="G137" s="939"/>
      <c r="H137" s="939"/>
      <c r="I137" s="939"/>
      <c r="J137" s="939"/>
      <c r="K137" s="939"/>
      <c r="L137" s="939"/>
      <c r="M137" s="939"/>
      <c r="N137" s="939"/>
      <c r="O137" s="939"/>
      <c r="P137" s="939"/>
      <c r="Q137" s="939"/>
      <c r="R137" s="939"/>
      <c r="S137" s="939"/>
      <c r="T137" s="939"/>
      <c r="U137" s="939"/>
      <c r="V137" s="939"/>
      <c r="W137" s="939"/>
      <c r="X137" s="939"/>
      <c r="Y137" s="939"/>
      <c r="Z137" s="939"/>
      <c r="AA137" s="939"/>
      <c r="AB137" s="939"/>
      <c r="AC137" s="939"/>
      <c r="AD137" s="855"/>
      <c r="AL137" s="1517"/>
      <c r="AM137" s="909"/>
      <c r="AN137" s="849"/>
    </row>
    <row r="138" spans="1:52" s="850" customFormat="1" ht="15" customHeight="1">
      <c r="A138" s="854"/>
      <c r="B138" s="2942" t="s">
        <v>2471</v>
      </c>
      <c r="C138" s="2942"/>
      <c r="D138" s="2942"/>
      <c r="E138" s="2942"/>
      <c r="F138" s="2942"/>
      <c r="G138" s="2942"/>
      <c r="H138" s="2942"/>
      <c r="I138" s="2942"/>
      <c r="J138" s="2942"/>
      <c r="K138" s="2942"/>
      <c r="L138" s="2942"/>
      <c r="M138" s="2942"/>
      <c r="N138" s="2942"/>
      <c r="O138" s="2942"/>
      <c r="P138" s="2942"/>
      <c r="Q138" s="2942"/>
      <c r="R138" s="2942"/>
      <c r="S138" s="2942"/>
      <c r="T138" s="2942"/>
      <c r="U138" s="2942"/>
      <c r="V138" s="2942"/>
      <c r="W138" s="2942"/>
      <c r="X138" s="2942"/>
      <c r="Y138" s="2942"/>
      <c r="Z138" s="2942"/>
      <c r="AA138" s="2942"/>
      <c r="AB138" s="2942"/>
      <c r="AC138" s="2942"/>
      <c r="AD138" s="855"/>
      <c r="AE138" s="1517"/>
      <c r="AF138" s="1517"/>
      <c r="AG138" s="1517"/>
      <c r="AH138" s="1517"/>
      <c r="AI138" s="1517"/>
      <c r="AJ138" s="1517"/>
      <c r="AK138" s="1517"/>
      <c r="AL138" s="1517"/>
      <c r="AM138" s="909"/>
      <c r="AN138" s="849"/>
      <c r="AO138" s="914"/>
      <c r="AP138" s="915"/>
    </row>
    <row r="139" spans="1:52" s="853" customFormat="1" ht="12.75" customHeight="1">
      <c r="A139" s="854"/>
      <c r="B139" s="854"/>
      <c r="C139" s="855"/>
      <c r="D139" s="855"/>
      <c r="E139" s="855"/>
      <c r="F139" s="855"/>
      <c r="G139" s="855"/>
      <c r="H139" s="855"/>
      <c r="I139" s="855"/>
      <c r="J139" s="855"/>
      <c r="K139" s="855"/>
      <c r="L139" s="855"/>
      <c r="M139" s="855"/>
      <c r="N139" s="855"/>
      <c r="O139" s="855"/>
      <c r="P139" s="855"/>
      <c r="Q139" s="855"/>
      <c r="R139" s="855"/>
      <c r="S139" s="855"/>
      <c r="T139" s="855"/>
      <c r="U139" s="855"/>
      <c r="V139" s="855"/>
      <c r="W139" s="855"/>
      <c r="X139" s="855"/>
      <c r="Y139" s="855"/>
      <c r="Z139" s="855"/>
      <c r="AA139" s="855"/>
      <c r="AB139" s="855"/>
      <c r="AC139" s="855"/>
      <c r="AD139" s="855"/>
      <c r="AE139" s="1517"/>
      <c r="AF139" s="1517"/>
      <c r="AG139" s="1517"/>
      <c r="AH139" s="1517"/>
      <c r="AI139" s="1517"/>
      <c r="AJ139" s="1517"/>
      <c r="AK139" s="1517"/>
      <c r="AL139" s="1517"/>
      <c r="AM139" s="909"/>
      <c r="AN139" s="852"/>
      <c r="AO139" s="847" t="s">
        <v>318</v>
      </c>
      <c r="AP139" s="861"/>
    </row>
    <row r="140" spans="1:52" s="850" customFormat="1" ht="12.75" customHeight="1">
      <c r="A140" s="854"/>
      <c r="B140" s="855" t="s">
        <v>1625</v>
      </c>
      <c r="C140" s="855"/>
      <c r="D140" s="855"/>
      <c r="E140" s="855"/>
      <c r="F140" s="855"/>
      <c r="G140" s="855"/>
      <c r="H140" s="855"/>
      <c r="I140" s="855"/>
      <c r="J140" s="855"/>
      <c r="K140" s="855"/>
      <c r="L140" s="855"/>
      <c r="M140" s="855"/>
      <c r="N140" s="855"/>
      <c r="O140" s="855"/>
      <c r="P140" s="855"/>
      <c r="Q140" s="855"/>
      <c r="R140" s="855"/>
      <c r="S140" s="855"/>
      <c r="T140" s="855"/>
      <c r="U140" s="855"/>
      <c r="V140" s="855"/>
      <c r="W140" s="855"/>
      <c r="X140" s="855"/>
      <c r="Y140" s="855"/>
      <c r="Z140" s="855"/>
      <c r="AA140" s="855"/>
      <c r="AB140" s="855"/>
      <c r="AC140" s="855"/>
      <c r="AD140" s="855"/>
      <c r="AE140" s="855"/>
      <c r="AF140" s="855"/>
      <c r="AG140" s="855"/>
      <c r="AH140" s="855"/>
      <c r="AI140" s="855"/>
      <c r="AJ140" s="855"/>
      <c r="AK140" s="855"/>
      <c r="AL140" s="855"/>
      <c r="AM140" s="909"/>
      <c r="AN140" s="849"/>
      <c r="AO140" s="917" t="s">
        <v>1626</v>
      </c>
      <c r="AP140" s="918">
        <v>5</v>
      </c>
    </row>
    <row r="141" spans="1:52" s="850" customFormat="1" ht="12.75" customHeight="1">
      <c r="A141" s="854"/>
      <c r="B141" s="2967" t="s">
        <v>1627</v>
      </c>
      <c r="C141" s="2967"/>
      <c r="D141" s="2967"/>
      <c r="E141" s="2967"/>
      <c r="F141" s="2967"/>
      <c r="G141" s="2967"/>
      <c r="H141" s="2967"/>
      <c r="I141" s="2967"/>
      <c r="J141" s="2967"/>
      <c r="K141" s="2967"/>
      <c r="L141" s="2967"/>
      <c r="M141" s="2967"/>
      <c r="N141" s="2967"/>
      <c r="O141" s="2967"/>
      <c r="P141" s="2967"/>
      <c r="Q141" s="2967"/>
      <c r="R141" s="2967"/>
      <c r="S141" s="2967"/>
      <c r="T141" s="2967"/>
      <c r="U141" s="2967"/>
      <c r="V141" s="2967"/>
      <c r="W141" s="2967"/>
      <c r="X141" s="2967"/>
      <c r="Y141" s="2967"/>
      <c r="Z141" s="2967"/>
      <c r="AA141" s="2967"/>
      <c r="AB141" s="2967"/>
      <c r="AC141" s="2967"/>
      <c r="AD141" s="2967"/>
      <c r="AE141" s="2967"/>
      <c r="AF141" s="2967"/>
      <c r="AG141" s="2967"/>
      <c r="AH141" s="2967"/>
      <c r="AI141" s="2967"/>
      <c r="AM141" s="909"/>
      <c r="AN141" s="849"/>
      <c r="AO141" s="917" t="s">
        <v>1627</v>
      </c>
      <c r="AP141" s="918">
        <v>7</v>
      </c>
    </row>
    <row r="142" spans="1:52" s="850" customFormat="1" ht="13.15" customHeight="1">
      <c r="A142" s="919"/>
      <c r="B142" s="939"/>
      <c r="C142" s="939"/>
      <c r="D142" s="939"/>
      <c r="E142" s="939"/>
      <c r="F142" s="939"/>
      <c r="G142" s="939"/>
      <c r="H142" s="939"/>
      <c r="I142" s="939"/>
      <c r="J142" s="939"/>
      <c r="K142" s="939"/>
      <c r="L142" s="939"/>
      <c r="M142" s="939"/>
      <c r="N142" s="939"/>
      <c r="O142" s="939"/>
      <c r="P142" s="939"/>
      <c r="Q142" s="939"/>
      <c r="R142" s="939"/>
      <c r="S142" s="939"/>
      <c r="T142" s="939"/>
      <c r="U142" s="939"/>
      <c r="V142" s="939"/>
      <c r="W142" s="939"/>
      <c r="X142" s="939"/>
      <c r="Y142" s="939"/>
      <c r="Z142" s="939"/>
      <c r="AA142" s="939"/>
      <c r="AB142" s="939"/>
      <c r="AC142" s="939"/>
      <c r="AD142" s="920"/>
      <c r="AE142" s="853"/>
      <c r="AF142" s="853"/>
      <c r="AG142" s="853"/>
      <c r="AH142" s="853"/>
      <c r="AI142" s="853"/>
      <c r="AJ142" s="853"/>
      <c r="AK142" s="853"/>
      <c r="AL142" s="853"/>
      <c r="AM142" s="909"/>
      <c r="AN142" s="849"/>
      <c r="AO142" s="917" t="s">
        <v>2005</v>
      </c>
      <c r="AP142" s="918">
        <v>7</v>
      </c>
    </row>
    <row r="143" spans="1:52" s="850" customFormat="1" ht="12.75" customHeight="1">
      <c r="A143" s="919"/>
      <c r="B143" s="855" t="s">
        <v>1628</v>
      </c>
      <c r="AB143" s="2968" t="s">
        <v>628</v>
      </c>
      <c r="AC143" s="2968"/>
      <c r="AD143" s="920"/>
      <c r="AE143" s="853"/>
      <c r="AF143" s="853"/>
      <c r="AG143" s="853"/>
      <c r="AH143" s="853"/>
      <c r="AI143" s="853"/>
      <c r="AJ143" s="853"/>
      <c r="AK143" s="853"/>
      <c r="AL143" s="853"/>
      <c r="AM143" s="909"/>
      <c r="AN143" s="849"/>
      <c r="AO143" s="921"/>
      <c r="AP143" s="921"/>
    </row>
    <row r="144" spans="1:52" s="850" customFormat="1" ht="9" customHeight="1">
      <c r="A144" s="919"/>
      <c r="B144" s="939"/>
      <c r="C144" s="939"/>
      <c r="D144" s="939"/>
      <c r="E144" s="939"/>
      <c r="F144" s="939"/>
      <c r="G144" s="939"/>
      <c r="H144" s="939"/>
      <c r="I144" s="939"/>
      <c r="J144" s="939"/>
      <c r="K144" s="939"/>
      <c r="L144" s="939"/>
      <c r="M144" s="939"/>
      <c r="N144" s="939"/>
      <c r="O144" s="939"/>
      <c r="P144" s="939"/>
      <c r="Q144" s="939"/>
      <c r="R144" s="939"/>
      <c r="S144" s="939"/>
      <c r="T144" s="939"/>
      <c r="U144" s="939"/>
      <c r="V144" s="939"/>
      <c r="W144" s="939"/>
      <c r="X144" s="939"/>
      <c r="Y144" s="939"/>
      <c r="Z144" s="939"/>
      <c r="AA144" s="939"/>
      <c r="AB144" s="939"/>
      <c r="AC144" s="939"/>
      <c r="AD144" s="920"/>
      <c r="AE144" s="853"/>
      <c r="AF144" s="853"/>
      <c r="AG144" s="853"/>
      <c r="AH144" s="853"/>
      <c r="AI144" s="853"/>
      <c r="AJ144" s="853"/>
      <c r="AK144" s="853"/>
      <c r="AL144" s="853"/>
      <c r="AM144" s="909"/>
      <c r="AN144" s="849"/>
      <c r="AO144" s="847" t="s">
        <v>1629</v>
      </c>
      <c r="AP144" s="918"/>
    </row>
    <row r="145" spans="1:42" s="850" customFormat="1" ht="12.75" customHeight="1">
      <c r="A145" s="854"/>
      <c r="B145" s="911" t="s">
        <v>1630</v>
      </c>
      <c r="C145" s="939"/>
      <c r="D145" s="939"/>
      <c r="E145" s="939"/>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08"/>
      <c r="AM145" s="909"/>
      <c r="AN145" s="849"/>
      <c r="AO145" s="917" t="s">
        <v>1631</v>
      </c>
      <c r="AP145" s="918">
        <v>5</v>
      </c>
    </row>
    <row r="146" spans="1:42" s="850" customFormat="1" ht="12.75" customHeight="1">
      <c r="A146" s="854"/>
      <c r="B146" s="2967" t="s">
        <v>1629</v>
      </c>
      <c r="C146" s="2967"/>
      <c r="D146" s="2967"/>
      <c r="E146" s="2967"/>
      <c r="F146" s="2967"/>
      <c r="G146" s="2967"/>
      <c r="H146" s="2967"/>
      <c r="I146" s="2967"/>
      <c r="J146" s="2967"/>
      <c r="K146" s="2967"/>
      <c r="L146" s="2967"/>
      <c r="M146" s="2967"/>
      <c r="N146" s="2967"/>
      <c r="O146" s="2967"/>
      <c r="P146" s="2967"/>
      <c r="Q146" s="2967"/>
      <c r="R146" s="2967"/>
      <c r="S146" s="2967"/>
      <c r="T146" s="2967"/>
      <c r="U146" s="2967"/>
      <c r="V146" s="2967"/>
      <c r="W146" s="2967"/>
      <c r="X146" s="2967"/>
      <c r="Y146" s="2967"/>
      <c r="Z146" s="2967"/>
      <c r="AA146" s="2967"/>
      <c r="AB146" s="2967"/>
      <c r="AC146" s="2967"/>
      <c r="AD146" s="2967"/>
      <c r="AE146" s="2967"/>
      <c r="AF146" s="2967"/>
      <c r="AG146" s="2967"/>
      <c r="AH146" s="2967"/>
      <c r="AI146" s="2967"/>
      <c r="AJ146" s="2967"/>
      <c r="AK146" s="946"/>
      <c r="AL146" s="946"/>
      <c r="AM146" s="946"/>
      <c r="AN146" s="849"/>
      <c r="AO146" s="917" t="s">
        <v>1632</v>
      </c>
      <c r="AP146" s="918">
        <v>7</v>
      </c>
    </row>
    <row r="147" spans="1:42" s="850" customFormat="1" ht="12.75" customHeight="1">
      <c r="B147" s="935" t="s">
        <v>1633</v>
      </c>
      <c r="C147" s="939"/>
      <c r="D147" s="939"/>
      <c r="E147" s="939"/>
      <c r="F147" s="939"/>
      <c r="G147" s="939"/>
      <c r="H147" s="939"/>
      <c r="I147" s="939"/>
      <c r="J147" s="939"/>
      <c r="K147" s="939"/>
      <c r="L147" s="939"/>
      <c r="M147" s="939"/>
      <c r="N147" s="939"/>
      <c r="O147" s="939"/>
      <c r="P147" s="939"/>
      <c r="Q147" s="939"/>
      <c r="R147" s="939"/>
      <c r="S147" s="939"/>
      <c r="T147" s="939"/>
      <c r="U147" s="939"/>
      <c r="AM147" s="909"/>
      <c r="AN147" s="849"/>
      <c r="AO147" s="917"/>
      <c r="AP147" s="918"/>
    </row>
    <row r="148" spans="1:42" s="850" customFormat="1" ht="12.75" customHeight="1">
      <c r="AM148" s="909"/>
      <c r="AN148" s="849"/>
    </row>
    <row r="149" spans="1:42" s="866" customFormat="1" ht="12.75" customHeight="1">
      <c r="A149" s="931"/>
      <c r="B149" s="932"/>
      <c r="C149" s="932"/>
      <c r="D149" s="932"/>
      <c r="E149" s="932"/>
      <c r="F149" s="932"/>
      <c r="G149" s="932"/>
      <c r="H149" s="932"/>
      <c r="I149" s="932"/>
      <c r="J149" s="932"/>
      <c r="K149" s="932"/>
      <c r="L149" s="932"/>
      <c r="M149" s="932"/>
      <c r="N149" s="932"/>
      <c r="O149" s="932"/>
      <c r="P149" s="932"/>
      <c r="Q149" s="932"/>
      <c r="R149" s="932"/>
      <c r="S149" s="932"/>
      <c r="T149" s="932"/>
      <c r="U149" s="932"/>
      <c r="V149" s="932"/>
      <c r="W149" s="932"/>
      <c r="X149" s="932"/>
      <c r="Y149" s="932"/>
      <c r="Z149" s="932"/>
      <c r="AA149" s="932"/>
      <c r="AB149" s="932"/>
      <c r="AC149" s="932"/>
      <c r="AD149" s="932"/>
      <c r="AE149" s="932"/>
      <c r="AF149" s="932"/>
      <c r="AG149" s="932"/>
      <c r="AH149" s="932"/>
      <c r="AI149" s="882" t="s">
        <v>1635</v>
      </c>
      <c r="AJ149" s="2940">
        <f>IF($AB$143="N/A",VLOOKUP($B$141,$AO$139:$AP$142,2,FALSE),VLOOKUP($B$146,$AO$144:$AP$147,2,FALSE))</f>
        <v>7</v>
      </c>
      <c r="AK149" s="2940"/>
      <c r="AL149" s="933"/>
      <c r="AM149" s="853"/>
      <c r="AN149" s="926"/>
    </row>
    <row r="150" spans="1:42" s="866" customFormat="1" ht="12.75" customHeight="1">
      <c r="A150" s="928"/>
      <c r="B150" s="928"/>
      <c r="C150" s="850"/>
      <c r="D150" s="850"/>
      <c r="E150" s="850"/>
      <c r="F150" s="850"/>
      <c r="G150" s="850"/>
      <c r="H150" s="850"/>
      <c r="I150" s="850"/>
      <c r="J150" s="850"/>
      <c r="K150" s="850"/>
      <c r="L150" s="850"/>
      <c r="M150" s="850"/>
      <c r="N150" s="850"/>
      <c r="O150" s="850"/>
      <c r="P150" s="850"/>
      <c r="Q150" s="850"/>
      <c r="R150" s="850"/>
      <c r="S150" s="850"/>
      <c r="T150" s="850"/>
      <c r="U150" s="850"/>
      <c r="V150" s="850"/>
      <c r="W150" s="850"/>
      <c r="X150" s="850"/>
      <c r="Y150" s="850"/>
      <c r="Z150" s="850"/>
      <c r="AA150" s="850"/>
      <c r="AB150" s="850"/>
      <c r="AC150" s="850"/>
      <c r="AD150" s="850"/>
      <c r="AE150" s="850"/>
      <c r="AF150" s="850"/>
      <c r="AG150" s="850"/>
      <c r="AH150" s="850"/>
      <c r="AI150" s="850"/>
      <c r="AJ150" s="850"/>
      <c r="AK150" s="929"/>
      <c r="AL150" s="929"/>
      <c r="AM150" s="929"/>
      <c r="AN150" s="926"/>
    </row>
    <row r="151" spans="1:42" s="866" customFormat="1" ht="12.75" customHeight="1">
      <c r="A151" s="850"/>
      <c r="B151" s="911" t="s">
        <v>1637</v>
      </c>
      <c r="C151" s="935"/>
      <c r="D151" s="850"/>
      <c r="E151" s="1556"/>
      <c r="F151" s="1556"/>
      <c r="G151" s="1556"/>
      <c r="H151" s="1556"/>
      <c r="I151" s="1556"/>
      <c r="J151" s="1556"/>
      <c r="K151" s="1556"/>
      <c r="L151" s="1556"/>
      <c r="M151" s="1556"/>
      <c r="N151" s="1556"/>
      <c r="O151" s="1556"/>
      <c r="P151" s="1556"/>
      <c r="Q151" s="1556"/>
      <c r="R151" s="1556"/>
      <c r="S151" s="1556"/>
      <c r="T151" s="1556"/>
      <c r="U151" s="1556"/>
      <c r="V151" s="1556"/>
      <c r="W151" s="1556"/>
      <c r="X151" s="1556"/>
      <c r="Y151" s="1556"/>
      <c r="Z151" s="1556"/>
      <c r="AA151" s="1556"/>
      <c r="AB151" s="1556"/>
      <c r="AC151" s="1556"/>
      <c r="AD151" s="1556"/>
      <c r="AE151" s="850"/>
      <c r="AF151" s="2941" t="s">
        <v>1638</v>
      </c>
      <c r="AG151" s="2941"/>
      <c r="AH151" s="2941"/>
      <c r="AI151" s="2941"/>
      <c r="AJ151" s="2941"/>
      <c r="AK151" s="2941"/>
      <c r="AL151" s="2941"/>
      <c r="AM151" s="936"/>
      <c r="AN151" s="926"/>
    </row>
    <row r="152" spans="1:42" s="866" customFormat="1" ht="12.75" customHeight="1">
      <c r="A152" s="850"/>
      <c r="B152" s="855" t="s">
        <v>1639</v>
      </c>
      <c r="C152" s="853"/>
      <c r="D152" s="853"/>
      <c r="E152" s="853"/>
      <c r="F152" s="853"/>
      <c r="G152" s="853"/>
      <c r="H152" s="853"/>
      <c r="I152" s="853"/>
      <c r="J152" s="853"/>
      <c r="K152" s="853"/>
      <c r="L152" s="853"/>
      <c r="M152" s="853"/>
      <c r="N152" s="853"/>
      <c r="O152" s="853"/>
      <c r="P152" s="853"/>
      <c r="Q152" s="853"/>
      <c r="R152" s="853"/>
      <c r="S152" s="853"/>
      <c r="T152" s="853"/>
      <c r="U152" s="853"/>
      <c r="V152" s="853"/>
      <c r="W152" s="853"/>
      <c r="X152" s="853"/>
      <c r="Y152" s="853"/>
      <c r="Z152" s="853"/>
      <c r="AA152" s="855"/>
      <c r="AB152" s="855"/>
      <c r="AC152" s="855"/>
      <c r="AD152" s="855"/>
      <c r="AE152" s="850"/>
      <c r="AF152" s="850"/>
      <c r="AG152" s="850"/>
      <c r="AH152" s="850"/>
      <c r="AI152" s="850"/>
      <c r="AJ152" s="850"/>
      <c r="AK152" s="850"/>
      <c r="AL152" s="850"/>
      <c r="AM152" s="936"/>
      <c r="AN152" s="926"/>
    </row>
    <row r="153" spans="1:42" s="866" customFormat="1" ht="12.75" customHeight="1">
      <c r="A153" s="850"/>
      <c r="B153" s="850"/>
      <c r="C153" s="2967" t="s">
        <v>1636</v>
      </c>
      <c r="D153" s="2967"/>
      <c r="E153" s="2967"/>
      <c r="F153" s="2967"/>
      <c r="G153" s="2967"/>
      <c r="H153" s="2967"/>
      <c r="I153" s="2967"/>
      <c r="J153" s="2967"/>
      <c r="K153" s="2967"/>
      <c r="L153" s="2967"/>
      <c r="M153" s="2967"/>
      <c r="N153" s="2967"/>
      <c r="O153" s="2967"/>
      <c r="P153" s="2967"/>
      <c r="Q153" s="2967"/>
      <c r="R153" s="2967"/>
      <c r="S153" s="2967"/>
      <c r="T153" s="2967"/>
      <c r="U153" s="2967"/>
      <c r="V153" s="2967"/>
      <c r="W153" s="2967"/>
      <c r="X153" s="2967"/>
      <c r="Y153" s="2967"/>
      <c r="Z153" s="2967"/>
      <c r="AA153" s="2967"/>
      <c r="AB153" s="2967"/>
      <c r="AC153" s="2967"/>
      <c r="AD153" s="2967"/>
      <c r="AE153" s="2967"/>
      <c r="AF153" s="2967"/>
      <c r="AG153" s="2967"/>
      <c r="AH153" s="2967"/>
      <c r="AI153" s="2967"/>
      <c r="AJ153" s="853"/>
      <c r="AK153" s="853"/>
      <c r="AL153" s="853"/>
      <c r="AM153" s="936"/>
      <c r="AN153" s="923"/>
      <c r="AO153" s="927" t="s">
        <v>318</v>
      </c>
      <c r="AP153" s="921"/>
    </row>
    <row r="154" spans="1:42" s="866" customFormat="1" ht="13.15" customHeight="1">
      <c r="A154" s="853"/>
      <c r="B154" s="853"/>
      <c r="C154" s="939"/>
      <c r="D154" s="939"/>
      <c r="E154" s="939"/>
      <c r="F154" s="939"/>
      <c r="G154" s="939"/>
      <c r="H154" s="939"/>
      <c r="I154" s="939"/>
      <c r="J154" s="939"/>
      <c r="K154" s="939"/>
      <c r="L154" s="939"/>
      <c r="M154" s="939"/>
      <c r="N154" s="939"/>
      <c r="O154" s="939"/>
      <c r="P154" s="939"/>
      <c r="Q154" s="939"/>
      <c r="R154" s="939"/>
      <c r="S154" s="939"/>
      <c r="T154" s="939"/>
      <c r="U154" s="939"/>
      <c r="V154" s="939"/>
      <c r="W154" s="939"/>
      <c r="X154" s="939"/>
      <c r="Y154" s="939"/>
      <c r="Z154" s="939"/>
      <c r="AA154" s="939"/>
      <c r="AB154" s="939"/>
      <c r="AC154" s="939"/>
      <c r="AD154" s="939"/>
      <c r="AE154" s="853"/>
      <c r="AF154" s="853"/>
      <c r="AG154" s="853"/>
      <c r="AH154" s="853"/>
      <c r="AI154" s="853"/>
      <c r="AJ154" s="853"/>
      <c r="AK154" s="853"/>
      <c r="AL154" s="853"/>
      <c r="AM154" s="938"/>
      <c r="AN154" s="923"/>
      <c r="AO154" s="921" t="s">
        <v>1634</v>
      </c>
      <c r="AP154" s="930">
        <v>2</v>
      </c>
    </row>
    <row r="155" spans="1:42" s="866" customFormat="1" ht="12.75" customHeight="1">
      <c r="A155" s="853"/>
      <c r="B155" s="853"/>
      <c r="C155" s="855" t="s">
        <v>1641</v>
      </c>
      <c r="D155" s="850"/>
      <c r="E155" s="850"/>
      <c r="F155" s="850"/>
      <c r="G155" s="850"/>
      <c r="H155" s="850"/>
      <c r="I155" s="850"/>
      <c r="J155" s="850"/>
      <c r="K155" s="850"/>
      <c r="L155" s="850"/>
      <c r="M155" s="850"/>
      <c r="N155" s="850"/>
      <c r="O155" s="850"/>
      <c r="P155" s="850"/>
      <c r="Q155" s="850"/>
      <c r="R155" s="850"/>
      <c r="S155" s="850"/>
      <c r="T155" s="850"/>
      <c r="U155" s="850"/>
      <c r="V155" s="850"/>
      <c r="W155" s="850"/>
      <c r="X155" s="850"/>
      <c r="Y155" s="850"/>
      <c r="Z155" s="850"/>
      <c r="AA155" s="850"/>
      <c r="AB155" s="850"/>
      <c r="AC155" s="2968" t="s">
        <v>628</v>
      </c>
      <c r="AD155" s="2968"/>
      <c r="AE155" s="853"/>
      <c r="AF155" s="853"/>
      <c r="AG155" s="853"/>
      <c r="AH155" s="853"/>
      <c r="AI155" s="853"/>
      <c r="AJ155" s="853"/>
      <c r="AK155" s="853"/>
      <c r="AL155" s="853"/>
      <c r="AM155" s="938"/>
      <c r="AN155" s="923"/>
      <c r="AO155" s="921" t="s">
        <v>1636</v>
      </c>
      <c r="AP155" s="930">
        <v>3</v>
      </c>
    </row>
    <row r="156" spans="1:42" s="866" customFormat="1" ht="9" customHeight="1">
      <c r="A156" s="853"/>
      <c r="B156" s="853"/>
      <c r="C156" s="939"/>
      <c r="D156" s="939"/>
      <c r="E156" s="939"/>
      <c r="F156" s="939"/>
      <c r="G156" s="939"/>
      <c r="H156" s="939"/>
      <c r="I156" s="939"/>
      <c r="J156" s="939"/>
      <c r="K156" s="939"/>
      <c r="L156" s="939"/>
      <c r="M156" s="939"/>
      <c r="N156" s="939"/>
      <c r="O156" s="939"/>
      <c r="P156" s="939"/>
      <c r="Q156" s="939"/>
      <c r="R156" s="939"/>
      <c r="S156" s="939"/>
      <c r="T156" s="939"/>
      <c r="U156" s="939"/>
      <c r="V156" s="939"/>
      <c r="W156" s="939"/>
      <c r="X156" s="939"/>
      <c r="Y156" s="939"/>
      <c r="Z156" s="939"/>
      <c r="AA156" s="939"/>
      <c r="AB156" s="939"/>
      <c r="AC156" s="939"/>
      <c r="AD156" s="939"/>
      <c r="AE156" s="853"/>
      <c r="AF156" s="853"/>
      <c r="AG156" s="853"/>
      <c r="AH156" s="853"/>
      <c r="AI156" s="853"/>
      <c r="AJ156" s="853"/>
      <c r="AK156" s="853"/>
      <c r="AL156" s="853"/>
      <c r="AM156" s="938"/>
      <c r="AN156" s="923"/>
      <c r="AO156" s="934" t="s">
        <v>2006</v>
      </c>
      <c r="AP156" s="930">
        <v>3</v>
      </c>
    </row>
    <row r="157" spans="1:42" s="866" customFormat="1" ht="12.75" customHeight="1">
      <c r="A157" s="853"/>
      <c r="B157" s="853"/>
      <c r="C157" s="2967" t="s">
        <v>1629</v>
      </c>
      <c r="D157" s="2967"/>
      <c r="E157" s="2967"/>
      <c r="F157" s="2967"/>
      <c r="G157" s="2967"/>
      <c r="H157" s="2967"/>
      <c r="I157" s="2967"/>
      <c r="J157" s="2967"/>
      <c r="K157" s="2967"/>
      <c r="L157" s="2967"/>
      <c r="M157" s="2967"/>
      <c r="N157" s="2967"/>
      <c r="O157" s="2967"/>
      <c r="P157" s="2967"/>
      <c r="Q157" s="2967"/>
      <c r="R157" s="2967"/>
      <c r="S157" s="2967"/>
      <c r="T157" s="2967"/>
      <c r="U157" s="2967"/>
      <c r="V157" s="2967"/>
      <c r="W157" s="2967"/>
      <c r="X157" s="2967"/>
      <c r="Y157" s="2967"/>
      <c r="Z157" s="2967"/>
      <c r="AA157" s="2967"/>
      <c r="AB157" s="2967"/>
      <c r="AC157" s="2967"/>
      <c r="AD157" s="2967"/>
      <c r="AE157" s="853"/>
      <c r="AF157" s="853"/>
      <c r="AG157" s="853"/>
      <c r="AH157" s="853"/>
      <c r="AI157" s="853"/>
      <c r="AJ157" s="853"/>
      <c r="AK157" s="853"/>
      <c r="AL157" s="853"/>
      <c r="AM157" s="936"/>
      <c r="AN157" s="923"/>
      <c r="AO157" s="934"/>
      <c r="AP157" s="930"/>
    </row>
    <row r="158" spans="1:42" s="866" customFormat="1" ht="12.75" customHeight="1">
      <c r="A158" s="853"/>
      <c r="B158" s="850"/>
      <c r="C158" s="935" t="s">
        <v>1633</v>
      </c>
      <c r="D158" s="935"/>
      <c r="E158" s="935"/>
      <c r="F158" s="935"/>
      <c r="G158" s="935"/>
      <c r="H158" s="935"/>
      <c r="I158" s="935"/>
      <c r="J158" s="935"/>
      <c r="K158" s="935"/>
      <c r="L158" s="935"/>
      <c r="M158" s="935"/>
      <c r="N158" s="935"/>
      <c r="O158" s="935"/>
      <c r="P158" s="935"/>
      <c r="Q158" s="935"/>
      <c r="R158" s="935"/>
      <c r="S158" s="935"/>
      <c r="T158" s="935"/>
      <c r="U158" s="935"/>
      <c r="V158" s="935"/>
      <c r="W158" s="935"/>
      <c r="X158" s="935"/>
      <c r="Y158" s="935"/>
      <c r="Z158" s="935"/>
      <c r="AA158" s="935"/>
      <c r="AB158" s="935"/>
      <c r="AC158" s="935"/>
      <c r="AD158" s="935"/>
      <c r="AE158" s="935"/>
      <c r="AF158" s="935"/>
      <c r="AG158" s="935"/>
      <c r="AH158" s="935"/>
      <c r="AI158" s="935"/>
      <c r="AJ158" s="935"/>
      <c r="AK158" s="935"/>
      <c r="AL158" s="853"/>
      <c r="AM158" s="938"/>
      <c r="AN158" s="923"/>
      <c r="AO158" s="937"/>
      <c r="AP158" s="937"/>
    </row>
    <row r="159" spans="1:42" s="866" customFormat="1" ht="12.75" customHeight="1">
      <c r="A159" s="853"/>
      <c r="B159" s="850"/>
      <c r="C159" s="850"/>
      <c r="D159" s="850"/>
      <c r="E159" s="850"/>
      <c r="F159" s="850"/>
      <c r="G159" s="850"/>
      <c r="H159" s="850"/>
      <c r="I159" s="850"/>
      <c r="J159" s="850"/>
      <c r="K159" s="850"/>
      <c r="L159" s="850"/>
      <c r="M159" s="850"/>
      <c r="N159" s="850"/>
      <c r="O159" s="850"/>
      <c r="P159" s="850"/>
      <c r="Q159" s="850"/>
      <c r="R159" s="850"/>
      <c r="S159" s="850"/>
      <c r="T159" s="850"/>
      <c r="U159" s="850"/>
      <c r="V159" s="850"/>
      <c r="W159" s="850"/>
      <c r="X159" s="850"/>
      <c r="Y159" s="850"/>
      <c r="Z159" s="850"/>
      <c r="AA159" s="850"/>
      <c r="AB159" s="850"/>
      <c r="AC159" s="850"/>
      <c r="AD159" s="850"/>
      <c r="AE159" s="853"/>
      <c r="AF159" s="853"/>
      <c r="AG159" s="853"/>
      <c r="AH159" s="853"/>
      <c r="AI159" s="853"/>
      <c r="AJ159" s="853"/>
      <c r="AK159" s="853"/>
      <c r="AL159" s="853"/>
      <c r="AM159" s="938"/>
      <c r="AN159" s="923"/>
    </row>
    <row r="160" spans="1:42" s="866" customFormat="1" ht="12.75" customHeight="1">
      <c r="A160" s="850"/>
      <c r="B160" s="850"/>
      <c r="C160" s="911" t="s">
        <v>1643</v>
      </c>
      <c r="D160" s="939"/>
      <c r="E160" s="939"/>
      <c r="F160" s="939"/>
      <c r="G160" s="939"/>
      <c r="H160" s="939"/>
      <c r="I160" s="939"/>
      <c r="J160" s="939"/>
      <c r="K160" s="939"/>
      <c r="L160" s="939"/>
      <c r="M160" s="939"/>
      <c r="N160" s="939"/>
      <c r="O160" s="939"/>
      <c r="P160" s="939"/>
      <c r="Q160" s="939"/>
      <c r="R160" s="939"/>
      <c r="S160" s="939"/>
      <c r="T160" s="939"/>
      <c r="U160" s="939"/>
      <c r="V160" s="939"/>
      <c r="W160" s="939"/>
      <c r="X160" s="939"/>
      <c r="Y160" s="939"/>
      <c r="Z160" s="939"/>
      <c r="AA160" s="939"/>
      <c r="AB160" s="939"/>
      <c r="AC160" s="939"/>
      <c r="AD160" s="939"/>
      <c r="AE160" s="853"/>
      <c r="AF160" s="853"/>
      <c r="AG160" s="853"/>
      <c r="AH160" s="853"/>
      <c r="AI160" s="853"/>
      <c r="AJ160" s="853"/>
      <c r="AK160" s="853"/>
      <c r="AL160" s="853"/>
      <c r="AM160" s="936"/>
      <c r="AN160" s="923"/>
      <c r="AO160" s="927" t="s">
        <v>1629</v>
      </c>
      <c r="AP160" s="921"/>
    </row>
    <row r="161" spans="1:81" s="925" customFormat="1" ht="12.75" customHeight="1">
      <c r="A161" s="850"/>
      <c r="B161" s="850"/>
      <c r="C161" s="2942" t="s">
        <v>2472</v>
      </c>
      <c r="D161" s="2942"/>
      <c r="E161" s="2942"/>
      <c r="F161" s="2942"/>
      <c r="G161" s="2942"/>
      <c r="H161" s="2942"/>
      <c r="I161" s="2942"/>
      <c r="J161" s="2942"/>
      <c r="K161" s="2942"/>
      <c r="L161" s="2942"/>
      <c r="M161" s="2942"/>
      <c r="N161" s="2942"/>
      <c r="O161" s="2942"/>
      <c r="P161" s="2942"/>
      <c r="Q161" s="2942"/>
      <c r="R161" s="2942"/>
      <c r="S161" s="2942"/>
      <c r="T161" s="2942"/>
      <c r="U161" s="2942"/>
      <c r="V161" s="2942"/>
      <c r="W161" s="2942"/>
      <c r="X161" s="2942"/>
      <c r="Y161" s="2942"/>
      <c r="Z161" s="2942"/>
      <c r="AA161" s="2942"/>
      <c r="AB161" s="2942"/>
      <c r="AC161" s="2942"/>
      <c r="AD161" s="2942"/>
      <c r="AE161" s="853"/>
      <c r="AF161" s="853"/>
      <c r="AG161" s="853"/>
      <c r="AH161" s="853"/>
      <c r="AI161" s="853"/>
      <c r="AJ161" s="853"/>
      <c r="AK161" s="853"/>
      <c r="AL161" s="853"/>
      <c r="AM161" s="936"/>
      <c r="AN161" s="924"/>
      <c r="AO161" s="921" t="s">
        <v>1640</v>
      </c>
      <c r="AP161" s="930">
        <v>2</v>
      </c>
      <c r="AQ161" s="866"/>
      <c r="AR161" s="866"/>
      <c r="AS161" s="866"/>
    </row>
    <row r="162" spans="1:81" s="866" customFormat="1" ht="12.75" customHeight="1">
      <c r="A162" s="850"/>
      <c r="B162" s="850"/>
      <c r="C162" s="939"/>
      <c r="D162" s="939"/>
      <c r="E162" s="939"/>
      <c r="F162" s="939"/>
      <c r="G162" s="939"/>
      <c r="H162" s="939"/>
      <c r="I162" s="939"/>
      <c r="J162" s="939"/>
      <c r="K162" s="939"/>
      <c r="L162" s="939"/>
      <c r="M162" s="939"/>
      <c r="N162" s="939"/>
      <c r="O162" s="939"/>
      <c r="P162" s="939"/>
      <c r="Q162" s="939"/>
      <c r="R162" s="939"/>
      <c r="S162" s="939"/>
      <c r="T162" s="939"/>
      <c r="U162" s="939"/>
      <c r="V162" s="939"/>
      <c r="W162" s="939"/>
      <c r="X162" s="939"/>
      <c r="Y162" s="939"/>
      <c r="Z162" s="939"/>
      <c r="AA162" s="939"/>
      <c r="AB162" s="939"/>
      <c r="AC162" s="939"/>
      <c r="AD162" s="939"/>
      <c r="AE162" s="853"/>
      <c r="AF162" s="853"/>
      <c r="AG162" s="853"/>
      <c r="AH162" s="853"/>
      <c r="AI162" s="853"/>
      <c r="AJ162" s="853"/>
      <c r="AK162" s="853"/>
      <c r="AL162" s="853"/>
      <c r="AM162" s="936"/>
      <c r="AN162" s="923"/>
      <c r="AO162" s="921" t="s">
        <v>1642</v>
      </c>
      <c r="AP162" s="930">
        <v>3</v>
      </c>
    </row>
    <row r="163" spans="1:81" s="866" customFormat="1" ht="12.75" customHeight="1">
      <c r="A163" s="940"/>
      <c r="B163" s="941"/>
      <c r="C163" s="941"/>
      <c r="D163" s="880"/>
      <c r="E163" s="941"/>
      <c r="F163" s="941"/>
      <c r="G163" s="941"/>
      <c r="H163" s="941"/>
      <c r="I163" s="941"/>
      <c r="J163" s="941"/>
      <c r="K163" s="941"/>
      <c r="L163" s="941"/>
      <c r="M163" s="941"/>
      <c r="N163" s="941"/>
      <c r="O163" s="941"/>
      <c r="P163" s="941"/>
      <c r="Q163" s="942"/>
      <c r="R163" s="943"/>
      <c r="S163" s="941"/>
      <c r="T163" s="941"/>
      <c r="U163" s="941"/>
      <c r="V163" s="941"/>
      <c r="W163" s="941"/>
      <c r="X163" s="941"/>
      <c r="Y163" s="941"/>
      <c r="Z163" s="941"/>
      <c r="AA163" s="941"/>
      <c r="AB163" s="941"/>
      <c r="AC163" s="941"/>
      <c r="AD163" s="941"/>
      <c r="AE163" s="941"/>
      <c r="AF163" s="941"/>
      <c r="AG163" s="941"/>
      <c r="AH163" s="941"/>
      <c r="AI163" s="882" t="s">
        <v>1644</v>
      </c>
      <c r="AJ163" s="2969">
        <f>IF($AC$155="N/A",VLOOKUP($C$153,$AO$153:$AP$156,2,FALSE),VLOOKUP($C$157,$AO$160:$AP$162,2,FALSE))</f>
        <v>3</v>
      </c>
      <c r="AK163" s="2969"/>
      <c r="AL163" s="944"/>
      <c r="AM163" s="945"/>
      <c r="AN163" s="923"/>
      <c r="AO163" s="934"/>
      <c r="AP163" s="930"/>
    </row>
    <row r="164" spans="1:81" s="866" customFormat="1" ht="12.75" customHeight="1">
      <c r="A164" s="946"/>
      <c r="B164" s="947"/>
      <c r="D164" s="948"/>
      <c r="E164" s="948"/>
      <c r="F164" s="948"/>
      <c r="G164" s="948"/>
      <c r="H164" s="948"/>
      <c r="I164" s="948"/>
      <c r="J164" s="948"/>
      <c r="K164" s="948"/>
      <c r="L164" s="948"/>
      <c r="M164" s="948"/>
      <c r="N164" s="948"/>
      <c r="R164" s="946"/>
      <c r="S164" s="947"/>
      <c r="U164" s="948"/>
      <c r="V164" s="948"/>
      <c r="W164" s="948"/>
      <c r="X164" s="948"/>
      <c r="Y164" s="948"/>
      <c r="Z164" s="948"/>
      <c r="AA164" s="948"/>
      <c r="AB164" s="948"/>
      <c r="AC164" s="948"/>
      <c r="AD164" s="948"/>
      <c r="AE164" s="948"/>
      <c r="AK164" s="949"/>
      <c r="AL164" s="949"/>
      <c r="AM164" s="949"/>
      <c r="AN164" s="923"/>
    </row>
    <row r="165" spans="1:81" s="866" customFormat="1" ht="12.75" customHeight="1">
      <c r="A165" s="951"/>
      <c r="B165" s="950"/>
      <c r="C165" s="950"/>
      <c r="D165" s="950"/>
      <c r="E165" s="950"/>
      <c r="F165" s="950"/>
      <c r="G165" s="950"/>
      <c r="H165" s="950"/>
      <c r="I165" s="950"/>
      <c r="J165" s="950"/>
      <c r="K165" s="950"/>
      <c r="L165" s="950"/>
      <c r="M165" s="950"/>
      <c r="N165" s="950"/>
      <c r="O165" s="950"/>
      <c r="P165" s="950"/>
      <c r="Q165" s="950"/>
      <c r="R165" s="950"/>
      <c r="S165" s="950"/>
      <c r="T165" s="950"/>
      <c r="U165" s="950"/>
      <c r="V165" s="950"/>
      <c r="W165" s="950"/>
      <c r="X165" s="950"/>
      <c r="Y165" s="950"/>
      <c r="Z165" s="950"/>
      <c r="AA165" s="950"/>
      <c r="AB165" s="950"/>
      <c r="AC165" s="950"/>
      <c r="AD165" s="950"/>
      <c r="AE165" s="950"/>
      <c r="AF165" s="950"/>
      <c r="AG165" s="950"/>
      <c r="AH165" s="950"/>
      <c r="AI165" s="950"/>
      <c r="AJ165" s="950"/>
      <c r="AK165" s="950"/>
      <c r="AL165" s="950"/>
      <c r="AM165" s="950"/>
      <c r="AN165" s="923"/>
    </row>
    <row r="166" spans="1:81" s="866" customFormat="1" ht="12.75" customHeight="1">
      <c r="A166" s="878"/>
      <c r="B166" s="879"/>
      <c r="C166" s="879"/>
      <c r="D166" s="879"/>
      <c r="E166" s="879"/>
      <c r="F166" s="879"/>
      <c r="G166" s="880"/>
      <c r="H166" s="881"/>
      <c r="I166" s="881"/>
      <c r="J166" s="881"/>
      <c r="K166" s="881"/>
      <c r="L166" s="881"/>
      <c r="M166" s="881"/>
      <c r="N166" s="881"/>
      <c r="O166" s="881"/>
      <c r="P166" s="881"/>
      <c r="Q166" s="881"/>
      <c r="R166" s="881"/>
      <c r="S166" s="881"/>
      <c r="T166" s="881"/>
      <c r="U166" s="881"/>
      <c r="V166" s="881"/>
      <c r="W166" s="881"/>
      <c r="X166" s="881"/>
      <c r="Y166" s="881"/>
      <c r="Z166" s="881"/>
      <c r="AA166" s="881"/>
      <c r="AB166" s="881"/>
      <c r="AC166" s="881"/>
      <c r="AD166" s="881"/>
      <c r="AE166" s="881"/>
      <c r="AF166" s="881"/>
      <c r="AG166" s="881"/>
      <c r="AH166" s="881"/>
      <c r="AI166" s="882"/>
      <c r="AJ166" s="882" t="s">
        <v>1645</v>
      </c>
      <c r="AK166" s="2923">
        <f>$AJ$149+$AJ$163</f>
        <v>10</v>
      </c>
      <c r="AL166" s="2924"/>
      <c r="AM166" s="2925"/>
      <c r="AN166" s="923"/>
    </row>
    <row r="167" spans="1:81" s="866" customFormat="1" ht="12.75" customHeight="1" thickBot="1">
      <c r="A167" s="883"/>
      <c r="B167" s="884"/>
      <c r="C167" s="885"/>
      <c r="D167" s="885"/>
      <c r="E167" s="885"/>
      <c r="F167" s="885"/>
      <c r="G167" s="885"/>
      <c r="H167" s="885"/>
      <c r="I167" s="885"/>
      <c r="J167" s="885"/>
      <c r="K167" s="885"/>
      <c r="L167" s="885"/>
      <c r="M167" s="885"/>
      <c r="N167" s="885"/>
      <c r="O167" s="885"/>
      <c r="P167" s="885"/>
      <c r="Q167" s="885"/>
      <c r="R167" s="885"/>
      <c r="S167" s="885"/>
      <c r="T167" s="885"/>
      <c r="U167" s="885"/>
      <c r="V167" s="885"/>
      <c r="W167" s="885"/>
      <c r="X167" s="885"/>
      <c r="Y167" s="885"/>
      <c r="Z167" s="885"/>
      <c r="AA167" s="885"/>
      <c r="AB167" s="885"/>
      <c r="AC167" s="885"/>
      <c r="AD167" s="885"/>
      <c r="AE167" s="885"/>
      <c r="AF167" s="885"/>
      <c r="AG167" s="885"/>
      <c r="AH167" s="885"/>
      <c r="AI167" s="885"/>
      <c r="AJ167" s="885"/>
      <c r="AK167" s="885"/>
      <c r="AL167" s="885"/>
      <c r="AM167" s="886"/>
      <c r="AN167" s="885"/>
      <c r="AO167" s="885"/>
      <c r="AR167" s="885"/>
      <c r="AS167" s="885"/>
      <c r="AT167" s="885"/>
      <c r="AU167" s="885"/>
      <c r="AV167" s="885"/>
      <c r="AW167" s="885"/>
      <c r="AX167" s="885"/>
      <c r="AY167" s="885"/>
      <c r="AZ167" s="885"/>
      <c r="BA167" s="885"/>
      <c r="BB167" s="885"/>
      <c r="BC167" s="885"/>
      <c r="BD167" s="885"/>
      <c r="BE167" s="885"/>
      <c r="BF167" s="885"/>
      <c r="BG167" s="885"/>
      <c r="BH167" s="885"/>
      <c r="BI167" s="885"/>
      <c r="BJ167" s="885"/>
      <c r="BK167" s="885"/>
      <c r="BL167" s="885"/>
      <c r="BM167" s="885"/>
      <c r="BN167" s="885"/>
      <c r="BO167" s="885"/>
      <c r="BP167" s="885"/>
      <c r="BQ167" s="885"/>
      <c r="BR167" s="885"/>
      <c r="BS167" s="885"/>
      <c r="BT167" s="885"/>
      <c r="BU167" s="885"/>
      <c r="BV167" s="885"/>
      <c r="BW167" s="885"/>
      <c r="BX167" s="885"/>
      <c r="BY167" s="885"/>
      <c r="BZ167" s="885"/>
      <c r="CA167" s="885"/>
      <c r="CB167" s="885"/>
      <c r="CC167" s="885"/>
    </row>
    <row r="168" spans="1:81" s="866" customFormat="1" ht="12.75" customHeight="1" thickTop="1">
      <c r="A168" s="887"/>
      <c r="B168" s="888"/>
      <c r="C168" s="889"/>
      <c r="D168" s="889"/>
      <c r="E168" s="889"/>
      <c r="F168" s="889"/>
      <c r="G168" s="889"/>
      <c r="H168" s="889"/>
      <c r="I168" s="890"/>
      <c r="J168" s="890"/>
      <c r="K168" s="890"/>
      <c r="L168" s="890"/>
      <c r="M168" s="890"/>
      <c r="N168" s="890"/>
      <c r="O168" s="890"/>
      <c r="P168" s="890"/>
      <c r="Q168" s="890"/>
      <c r="R168" s="887"/>
      <c r="S168" s="855"/>
      <c r="T168" s="855"/>
      <c r="U168" s="855"/>
      <c r="V168" s="855"/>
      <c r="W168" s="855"/>
      <c r="X168" s="855"/>
      <c r="Y168" s="855"/>
      <c r="Z168" s="855"/>
      <c r="AA168" s="855"/>
      <c r="AB168" s="855"/>
      <c r="AC168" s="855"/>
      <c r="AD168" s="855"/>
      <c r="AE168" s="855"/>
      <c r="AF168" s="887"/>
      <c r="AG168" s="855"/>
      <c r="AH168" s="855"/>
      <c r="AI168" s="855"/>
      <c r="AJ168" s="855"/>
      <c r="AN168" s="923"/>
      <c r="AP168" s="952" t="s">
        <v>1646</v>
      </c>
      <c r="AQ168" s="953">
        <v>0</v>
      </c>
    </row>
    <row r="169" spans="1:81" s="866" customFormat="1" ht="12.75" customHeight="1">
      <c r="A169" s="911" t="s">
        <v>1647</v>
      </c>
      <c r="B169" s="911" t="s">
        <v>2244</v>
      </c>
      <c r="C169" s="954"/>
      <c r="D169" s="955"/>
      <c r="E169" s="955"/>
      <c r="F169" s="955"/>
      <c r="G169" s="955"/>
      <c r="H169" s="955"/>
      <c r="I169" s="955"/>
      <c r="J169" s="955"/>
      <c r="K169" s="850"/>
      <c r="L169" s="850"/>
      <c r="M169" s="850"/>
      <c r="N169" s="850"/>
      <c r="O169" s="850"/>
      <c r="P169" s="850"/>
      <c r="Q169" s="850"/>
      <c r="R169" s="850"/>
      <c r="S169" s="850"/>
      <c r="T169" s="850"/>
      <c r="U169" s="850"/>
      <c r="V169" s="850"/>
      <c r="W169" s="850"/>
      <c r="X169" s="850"/>
      <c r="Y169" s="956"/>
      <c r="Z169" s="956"/>
      <c r="AA169" s="956"/>
      <c r="AB169" s="956"/>
      <c r="AC169" s="850"/>
      <c r="AD169" s="850"/>
      <c r="AE169" s="2964" t="s">
        <v>1600</v>
      </c>
      <c r="AF169" s="2964"/>
      <c r="AG169" s="2964"/>
      <c r="AH169" s="2964"/>
      <c r="AI169" s="2964"/>
      <c r="AJ169" s="2964"/>
      <c r="AK169" s="2964"/>
      <c r="AL169" s="1522"/>
      <c r="AM169" s="949"/>
      <c r="AN169" s="923"/>
      <c r="AP169" s="925" t="s">
        <v>1159</v>
      </c>
      <c r="AQ169" s="925">
        <v>10</v>
      </c>
    </row>
    <row r="170" spans="1:81" s="866" customFormat="1" ht="12.75" customHeight="1">
      <c r="A170" s="911"/>
      <c r="B170" s="958"/>
      <c r="C170" s="959"/>
      <c r="D170" s="955"/>
      <c r="E170" s="955"/>
      <c r="F170" s="955"/>
      <c r="G170" s="955"/>
      <c r="H170" s="850"/>
      <c r="I170" s="850"/>
      <c r="J170" s="850"/>
      <c r="K170" s="850"/>
      <c r="L170" s="850"/>
      <c r="M170" s="850"/>
      <c r="N170" s="850"/>
      <c r="O170" s="850"/>
      <c r="P170" s="850"/>
      <c r="Q170" s="850"/>
      <c r="R170" s="956"/>
      <c r="S170" s="956"/>
      <c r="T170" s="956"/>
      <c r="U170" s="956"/>
      <c r="V170" s="956"/>
      <c r="W170" s="956"/>
      <c r="X170" s="956"/>
      <c r="Y170" s="956"/>
      <c r="Z170" s="956"/>
      <c r="AA170" s="956"/>
      <c r="AB170" s="956"/>
      <c r="AC170" s="1522"/>
      <c r="AD170" s="1522"/>
      <c r="AE170" s="850"/>
      <c r="AF170" s="850"/>
      <c r="AG170" s="850"/>
      <c r="AH170" s="850"/>
      <c r="AI170" s="850"/>
      <c r="AJ170" s="850"/>
      <c r="AK170" s="850"/>
      <c r="AL170" s="850"/>
      <c r="AM170" s="949"/>
      <c r="AN170" s="923"/>
      <c r="AP170" s="866" t="s">
        <v>1648</v>
      </c>
      <c r="AQ170" s="866">
        <v>10</v>
      </c>
    </row>
    <row r="171" spans="1:81" s="866" customFormat="1" ht="12.75" customHeight="1">
      <c r="A171" s="850"/>
      <c r="B171" s="2965" t="s">
        <v>1159</v>
      </c>
      <c r="C171" s="2965"/>
      <c r="D171" s="2965"/>
      <c r="E171" s="2965"/>
      <c r="F171" s="2965"/>
      <c r="G171" s="2965"/>
      <c r="H171" s="2965"/>
      <c r="I171" s="2965"/>
      <c r="J171" s="2965"/>
      <c r="K171" s="2965"/>
      <c r="L171" s="2965"/>
      <c r="M171" s="2965"/>
      <c r="N171" s="2965"/>
      <c r="O171" s="2965"/>
      <c r="P171" s="2965"/>
      <c r="Q171" s="2965"/>
      <c r="R171" s="2965"/>
      <c r="S171" s="2965"/>
      <c r="T171" s="2965"/>
      <c r="U171" s="2965"/>
      <c r="V171" s="2965"/>
      <c r="W171" s="2965"/>
      <c r="X171" s="2965"/>
      <c r="Y171" s="2965"/>
      <c r="Z171" s="2965"/>
      <c r="AA171" s="2965"/>
      <c r="AB171" s="2965"/>
      <c r="AC171" s="2965"/>
      <c r="AD171" s="946"/>
      <c r="AE171" s="946"/>
      <c r="AF171" s="2941" t="s">
        <v>1649</v>
      </c>
      <c r="AG171" s="2941"/>
      <c r="AH171" s="2941"/>
      <c r="AI171" s="2941"/>
      <c r="AJ171" s="2941"/>
      <c r="AK171" s="2941"/>
      <c r="AL171" s="2941"/>
      <c r="AN171" s="923"/>
      <c r="AP171" s="866" t="s">
        <v>1161</v>
      </c>
      <c r="AQ171" s="866">
        <v>10</v>
      </c>
    </row>
    <row r="172" spans="1:81" s="866" customFormat="1" ht="12.75" customHeight="1">
      <c r="A172" s="850"/>
      <c r="B172" s="2966" t="s">
        <v>2243</v>
      </c>
      <c r="C172" s="2966"/>
      <c r="D172" s="2966"/>
      <c r="E172" s="2966"/>
      <c r="F172" s="2966"/>
      <c r="G172" s="2966"/>
      <c r="H172" s="2966"/>
      <c r="I172" s="2966"/>
      <c r="J172" s="2966"/>
      <c r="K172" s="2966"/>
      <c r="L172" s="2966"/>
      <c r="M172" s="2966"/>
      <c r="N172" s="2966"/>
      <c r="O172" s="2966"/>
      <c r="P172" s="2966"/>
      <c r="Q172" s="2966"/>
      <c r="R172" s="2966"/>
      <c r="S172" s="2966"/>
      <c r="T172" s="2942" t="s">
        <v>1651</v>
      </c>
      <c r="U172" s="2942"/>
      <c r="V172" s="2942"/>
      <c r="W172" s="2942"/>
      <c r="X172" s="2942"/>
      <c r="Y172" s="2942"/>
      <c r="Z172" s="2942"/>
      <c r="AA172" s="2942"/>
      <c r="AB172" s="2942"/>
      <c r="AC172" s="2942"/>
      <c r="AD172" s="929"/>
      <c r="AE172" s="929"/>
      <c r="AF172" s="929"/>
      <c r="AG172" s="929"/>
      <c r="AH172" s="929"/>
      <c r="AI172" s="929"/>
      <c r="AJ172" s="1661"/>
      <c r="AK172" s="928"/>
      <c r="AL172" s="928"/>
      <c r="AM172" s="928"/>
      <c r="AN172" s="923"/>
      <c r="AP172" s="866" t="s">
        <v>1160</v>
      </c>
      <c r="AQ172" s="866">
        <v>10</v>
      </c>
      <c r="AS172" s="866" t="s">
        <v>628</v>
      </c>
    </row>
    <row r="173" spans="1:81" s="949" customFormat="1" ht="12.75" customHeight="1">
      <c r="A173" s="929"/>
      <c r="B173" s="939"/>
      <c r="C173" s="939"/>
      <c r="D173" s="939"/>
      <c r="E173" s="939"/>
      <c r="F173" s="939"/>
      <c r="G173" s="939"/>
      <c r="H173" s="939"/>
      <c r="I173" s="939"/>
      <c r="J173" s="939"/>
      <c r="K173" s="939"/>
      <c r="L173" s="939"/>
      <c r="M173" s="939"/>
      <c r="N173" s="939"/>
      <c r="O173" s="939"/>
      <c r="P173" s="939"/>
      <c r="Q173" s="939"/>
      <c r="R173" s="939"/>
      <c r="S173" s="939"/>
      <c r="T173" s="939"/>
      <c r="U173" s="939"/>
      <c r="V173" s="939"/>
      <c r="W173" s="939"/>
      <c r="X173" s="939"/>
      <c r="Y173" s="939"/>
      <c r="Z173" s="939"/>
      <c r="AA173" s="939"/>
      <c r="AB173" s="939"/>
      <c r="AC173" s="939"/>
      <c r="AD173" s="939"/>
      <c r="AE173" s="929"/>
      <c r="AF173" s="929"/>
      <c r="AG173" s="929"/>
      <c r="AH173" s="929"/>
      <c r="AI173" s="929"/>
      <c r="AJ173" s="1651"/>
      <c r="AK173" s="928"/>
      <c r="AL173" s="928"/>
      <c r="AM173" s="961"/>
      <c r="AP173" s="866" t="s">
        <v>1650</v>
      </c>
      <c r="AQ173" s="866">
        <v>10</v>
      </c>
      <c r="AS173" s="866" t="s">
        <v>1651</v>
      </c>
    </row>
    <row r="174" spans="1:81" s="866" customFormat="1" ht="12.75" customHeight="1">
      <c r="A174" s="940"/>
      <c r="B174" s="941"/>
      <c r="C174" s="941"/>
      <c r="D174" s="941"/>
      <c r="E174" s="941"/>
      <c r="F174" s="941"/>
      <c r="G174" s="941"/>
      <c r="H174" s="941"/>
      <c r="I174" s="941"/>
      <c r="J174" s="941"/>
      <c r="K174" s="941"/>
      <c r="L174" s="941"/>
      <c r="M174" s="941"/>
      <c r="N174" s="941"/>
      <c r="O174" s="941"/>
      <c r="P174" s="941"/>
      <c r="Q174" s="941"/>
      <c r="R174" s="941"/>
      <c r="S174" s="941"/>
      <c r="T174" s="941"/>
      <c r="U174" s="941"/>
      <c r="V174" s="941"/>
      <c r="W174" s="941"/>
      <c r="X174" s="941"/>
      <c r="Y174" s="941"/>
      <c r="Z174" s="941"/>
      <c r="AA174" s="941"/>
      <c r="AB174" s="941"/>
      <c r="AC174" s="941"/>
      <c r="AD174" s="941"/>
      <c r="AE174" s="941"/>
      <c r="AF174" s="941"/>
      <c r="AG174" s="941"/>
      <c r="AH174" s="941"/>
      <c r="AI174" s="882"/>
      <c r="AJ174" s="882" t="s">
        <v>1652</v>
      </c>
      <c r="AK174" s="2980">
        <f>IF(AK72&gt;0,VLOOKUP($B$171,AP168:AQ175,2,FALSE),0)</f>
        <v>10</v>
      </c>
      <c r="AL174" s="2981"/>
      <c r="AM174" s="2982"/>
      <c r="AN174" s="962"/>
      <c r="AP174" s="866" t="s">
        <v>1653</v>
      </c>
      <c r="AQ174" s="866">
        <v>10</v>
      </c>
      <c r="AS174" s="866" t="s">
        <v>1654</v>
      </c>
    </row>
    <row r="175" spans="1:81" s="866" customFormat="1" ht="12.75" customHeight="1" thickBot="1">
      <c r="A175" s="963"/>
      <c r="B175" s="963"/>
      <c r="C175" s="964"/>
      <c r="D175" s="965"/>
      <c r="E175" s="965"/>
      <c r="F175" s="966"/>
      <c r="G175" s="966"/>
      <c r="H175" s="966"/>
      <c r="I175" s="966"/>
      <c r="J175" s="966"/>
      <c r="K175" s="966"/>
      <c r="L175" s="966"/>
      <c r="M175" s="966"/>
      <c r="N175" s="966"/>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7"/>
      <c r="AK175" s="967"/>
      <c r="AL175" s="967"/>
      <c r="AM175" s="967"/>
      <c r="AN175" s="923"/>
      <c r="AP175" s="925" t="s">
        <v>1655</v>
      </c>
      <c r="AQ175" s="925">
        <v>10</v>
      </c>
    </row>
    <row r="176" spans="1:81" s="866" customFormat="1" ht="12.75" customHeight="1" thickTop="1">
      <c r="A176" s="887"/>
      <c r="B176" s="888"/>
      <c r="C176" s="889"/>
      <c r="D176" s="889"/>
      <c r="E176" s="889"/>
      <c r="F176" s="889"/>
      <c r="G176" s="889"/>
      <c r="H176" s="889"/>
      <c r="I176" s="890"/>
      <c r="J176" s="890"/>
      <c r="K176" s="890"/>
      <c r="L176" s="890"/>
      <c r="M176" s="890"/>
      <c r="N176" s="890"/>
      <c r="O176" s="890"/>
      <c r="P176" s="890"/>
      <c r="Q176" s="890"/>
      <c r="R176" s="887"/>
      <c r="S176" s="855"/>
      <c r="T176" s="855"/>
      <c r="U176" s="855"/>
      <c r="V176" s="855"/>
      <c r="W176" s="855"/>
      <c r="X176" s="855"/>
      <c r="Y176" s="855"/>
      <c r="Z176" s="855"/>
      <c r="AA176" s="855"/>
      <c r="AB176" s="855"/>
      <c r="AC176" s="855"/>
      <c r="AD176" s="855"/>
      <c r="AE176" s="855"/>
      <c r="AF176" s="887"/>
      <c r="AG176" s="855"/>
      <c r="AH176" s="855"/>
      <c r="AI176" s="855"/>
      <c r="AJ176" s="855"/>
      <c r="AM176" s="948"/>
      <c r="AN176" s="923"/>
    </row>
    <row r="177" spans="1:37">
      <c r="A177" s="911" t="s">
        <v>1656</v>
      </c>
      <c r="B177" s="911" t="s">
        <v>1657</v>
      </c>
      <c r="C177" s="954"/>
      <c r="D177" s="955"/>
      <c r="E177" s="955"/>
      <c r="F177" s="955"/>
      <c r="G177" s="955"/>
      <c r="H177" s="955"/>
      <c r="I177" s="955"/>
      <c r="J177" s="955"/>
      <c r="K177" s="866"/>
      <c r="L177" s="866"/>
      <c r="M177" s="866"/>
      <c r="N177" s="866"/>
      <c r="O177" s="866"/>
      <c r="P177" s="866"/>
      <c r="Q177" s="866"/>
      <c r="R177" s="866"/>
      <c r="S177" s="866"/>
      <c r="T177" s="866"/>
      <c r="U177" s="866"/>
      <c r="V177" s="866"/>
      <c r="W177" s="866"/>
      <c r="X177" s="866"/>
      <c r="Y177" s="956"/>
      <c r="Z177" s="956"/>
      <c r="AA177" s="956"/>
      <c r="AB177" s="956"/>
      <c r="AC177" s="866"/>
      <c r="AD177" s="866"/>
      <c r="AE177" s="2964" t="s">
        <v>1658</v>
      </c>
      <c r="AF177" s="2964"/>
      <c r="AG177" s="2964"/>
      <c r="AH177" s="2964"/>
      <c r="AI177" s="2964"/>
      <c r="AJ177" s="2964"/>
      <c r="AK177" s="2964"/>
    </row>
    <row r="178" spans="1:37">
      <c r="A178" s="911"/>
      <c r="B178" s="911"/>
      <c r="C178" s="954"/>
      <c r="D178" s="955"/>
      <c r="E178" s="955"/>
      <c r="F178" s="955"/>
      <c r="G178" s="955"/>
      <c r="H178" s="955"/>
      <c r="I178" s="955"/>
      <c r="J178" s="955"/>
      <c r="K178" s="850"/>
      <c r="L178" s="850"/>
      <c r="M178" s="850"/>
      <c r="N178" s="850"/>
      <c r="O178" s="850"/>
      <c r="P178" s="850"/>
      <c r="Q178" s="850"/>
      <c r="R178" s="850"/>
      <c r="S178" s="850"/>
      <c r="T178" s="850"/>
      <c r="U178" s="850"/>
      <c r="V178" s="850"/>
      <c r="W178" s="850"/>
      <c r="X178" s="850"/>
      <c r="Y178" s="956"/>
      <c r="Z178" s="956"/>
      <c r="AA178" s="956"/>
      <c r="AB178" s="956"/>
      <c r="AC178" s="850"/>
      <c r="AD178" s="850"/>
      <c r="AE178" s="960"/>
      <c r="AF178" s="960"/>
      <c r="AG178" s="960"/>
      <c r="AH178" s="960"/>
      <c r="AI178" s="960"/>
      <c r="AJ178" s="960"/>
      <c r="AK178" s="960"/>
    </row>
    <row r="179" spans="1:37">
      <c r="A179" s="911"/>
      <c r="B179" s="1318" t="s">
        <v>1909</v>
      </c>
      <c r="C179" s="954"/>
      <c r="D179" s="955"/>
      <c r="E179" s="955"/>
      <c r="F179" s="955"/>
      <c r="G179" s="955"/>
      <c r="H179" s="955"/>
      <c r="I179" s="955"/>
      <c r="J179" s="955"/>
      <c r="K179" s="850"/>
      <c r="L179" s="850"/>
      <c r="M179" s="850"/>
      <c r="N179" s="850"/>
      <c r="O179" s="850"/>
      <c r="P179" s="850"/>
      <c r="Q179" s="850"/>
      <c r="R179" s="850"/>
      <c r="S179" s="850"/>
      <c r="T179" s="850"/>
      <c r="U179" s="850"/>
      <c r="V179" s="850"/>
      <c r="W179" s="850"/>
      <c r="X179" s="850"/>
      <c r="Y179" s="956"/>
      <c r="Z179" s="956"/>
      <c r="AA179" s="956"/>
      <c r="AB179" s="956"/>
      <c r="AC179" s="850"/>
      <c r="AD179" s="850"/>
      <c r="AE179" s="960"/>
      <c r="AF179" s="960"/>
      <c r="AG179" s="960"/>
      <c r="AH179" s="960"/>
      <c r="AI179" s="960"/>
      <c r="AJ179" s="960"/>
      <c r="AK179" s="960"/>
    </row>
    <row r="180" spans="1:37">
      <c r="A180" s="939"/>
      <c r="B180" s="112"/>
      <c r="C180" s="1029"/>
      <c r="D180" s="1294"/>
      <c r="E180" s="1294"/>
      <c r="F180" s="1294"/>
      <c r="G180" s="1294"/>
      <c r="H180" s="1294"/>
      <c r="I180" s="1294"/>
      <c r="J180" s="1294"/>
      <c r="K180" s="850"/>
      <c r="L180" s="850"/>
      <c r="M180" s="850"/>
      <c r="N180" s="850"/>
      <c r="O180" s="850"/>
      <c r="P180" s="850"/>
      <c r="Q180" s="850"/>
      <c r="R180" s="850"/>
      <c r="S180" s="850"/>
      <c r="T180" s="850"/>
      <c r="U180" s="850"/>
      <c r="V180" s="850"/>
      <c r="W180" s="850"/>
      <c r="X180" s="850"/>
      <c r="Y180" s="1003"/>
      <c r="Z180" s="1003"/>
      <c r="AA180" s="1003"/>
      <c r="AB180" s="1003"/>
      <c r="AC180" s="850"/>
      <c r="AD180" s="850"/>
      <c r="AE180" s="947"/>
      <c r="AF180" s="947"/>
      <c r="AG180" s="947"/>
      <c r="AH180" s="947"/>
      <c r="AI180" s="947"/>
      <c r="AJ180" s="947"/>
      <c r="AK180" s="947"/>
    </row>
    <row r="181" spans="1:37">
      <c r="A181" s="939"/>
      <c r="B181" s="1319" t="s">
        <v>1945</v>
      </c>
      <c r="C181" s="1029"/>
      <c r="D181" s="1294"/>
      <c r="E181" s="1294"/>
      <c r="F181" s="1294"/>
      <c r="G181" s="1294"/>
      <c r="H181" s="1294"/>
      <c r="I181" s="1294"/>
      <c r="J181" s="1294"/>
      <c r="K181" s="850"/>
      <c r="L181" s="850"/>
      <c r="M181" s="850"/>
      <c r="N181" s="850"/>
      <c r="O181" s="850"/>
      <c r="P181" s="850"/>
      <c r="Q181" s="850"/>
      <c r="R181" s="850"/>
      <c r="S181" s="850"/>
      <c r="T181" s="850"/>
      <c r="U181" s="850"/>
      <c r="V181" s="850"/>
      <c r="W181" s="850"/>
      <c r="X181" s="850"/>
      <c r="Y181" s="1003"/>
      <c r="Z181" s="1003"/>
      <c r="AA181" s="1003"/>
      <c r="AB181" s="1003"/>
      <c r="AC181" s="850"/>
      <c r="AD181" s="850"/>
      <c r="AE181" s="947"/>
      <c r="AF181" s="947"/>
      <c r="AG181" s="947"/>
      <c r="AH181" s="947"/>
      <c r="AI181" s="947"/>
      <c r="AJ181" s="947"/>
      <c r="AK181" s="947"/>
    </row>
    <row r="182" spans="1:37">
      <c r="A182" s="939"/>
      <c r="B182" s="2950" t="s">
        <v>2459</v>
      </c>
      <c r="C182" s="2950"/>
      <c r="D182" s="2950"/>
      <c r="E182" s="2950"/>
      <c r="F182" s="2950"/>
      <c r="G182" s="2950"/>
      <c r="H182" s="2950"/>
      <c r="I182" s="2950"/>
      <c r="J182" s="2950"/>
      <c r="K182" s="2950"/>
      <c r="L182" s="2950"/>
      <c r="M182" s="2950"/>
      <c r="N182" s="2950"/>
      <c r="O182" s="2950"/>
      <c r="P182" s="2950"/>
      <c r="Q182" s="2950"/>
      <c r="R182" s="2950"/>
      <c r="S182" s="2950"/>
      <c r="T182" s="2950"/>
      <c r="U182" s="2950"/>
      <c r="V182" s="2950"/>
      <c r="W182" s="2950"/>
      <c r="X182" s="2950"/>
      <c r="Y182" s="2950"/>
      <c r="Z182" s="2950"/>
      <c r="AA182" s="2950"/>
      <c r="AB182" s="2950"/>
      <c r="AC182" s="1320"/>
      <c r="AD182" s="2951">
        <v>5477743</v>
      </c>
      <c r="AE182" s="2951"/>
      <c r="AF182" s="2951"/>
      <c r="AG182" s="2951"/>
      <c r="AH182" s="2951"/>
      <c r="AI182" s="2951"/>
      <c r="AJ182" s="2951"/>
      <c r="AK182" s="947"/>
    </row>
    <row r="183" spans="1:37">
      <c r="A183" s="939"/>
      <c r="B183" s="2950" t="s">
        <v>2460</v>
      </c>
      <c r="C183" s="2950"/>
      <c r="D183" s="2950"/>
      <c r="E183" s="2950"/>
      <c r="F183" s="2950"/>
      <c r="G183" s="2950"/>
      <c r="H183" s="2950"/>
      <c r="I183" s="2950"/>
      <c r="J183" s="2950"/>
      <c r="K183" s="2950"/>
      <c r="L183" s="2950"/>
      <c r="M183" s="2950"/>
      <c r="N183" s="2950"/>
      <c r="O183" s="2950"/>
      <c r="P183" s="2950"/>
      <c r="Q183" s="2950"/>
      <c r="R183" s="2950"/>
      <c r="S183" s="2950"/>
      <c r="T183" s="2950"/>
      <c r="U183" s="2950"/>
      <c r="V183" s="2950"/>
      <c r="W183" s="2950"/>
      <c r="X183" s="2950"/>
      <c r="Y183" s="2950"/>
      <c r="Z183" s="2950"/>
      <c r="AA183" s="2950"/>
      <c r="AB183" s="2950"/>
      <c r="AC183" s="1320"/>
      <c r="AD183" s="2951">
        <v>4964384</v>
      </c>
      <c r="AE183" s="2951"/>
      <c r="AF183" s="2951"/>
      <c r="AG183" s="2951"/>
      <c r="AH183" s="2951"/>
      <c r="AI183" s="2951"/>
      <c r="AJ183" s="2951"/>
      <c r="AK183" s="947"/>
    </row>
    <row r="184" spans="1:37">
      <c r="A184" s="939"/>
      <c r="B184" s="2950"/>
      <c r="C184" s="2950"/>
      <c r="D184" s="2950"/>
      <c r="E184" s="2950"/>
      <c r="F184" s="2950"/>
      <c r="G184" s="2950"/>
      <c r="H184" s="2950"/>
      <c r="I184" s="2950"/>
      <c r="J184" s="2950"/>
      <c r="K184" s="2950"/>
      <c r="L184" s="2950"/>
      <c r="M184" s="2950"/>
      <c r="N184" s="2950"/>
      <c r="O184" s="2950"/>
      <c r="P184" s="2950"/>
      <c r="Q184" s="2950"/>
      <c r="R184" s="2950"/>
      <c r="S184" s="2950"/>
      <c r="T184" s="2950"/>
      <c r="U184" s="2950"/>
      <c r="V184" s="2950"/>
      <c r="W184" s="2950"/>
      <c r="X184" s="2950"/>
      <c r="Y184" s="2950"/>
      <c r="Z184" s="2950"/>
      <c r="AA184" s="2950"/>
      <c r="AB184" s="2950"/>
      <c r="AC184" s="1320"/>
      <c r="AD184" s="2951"/>
      <c r="AE184" s="2951"/>
      <c r="AF184" s="2951"/>
      <c r="AG184" s="2951"/>
      <c r="AH184" s="2951"/>
      <c r="AI184" s="2951"/>
      <c r="AJ184" s="2951"/>
      <c r="AK184" s="947"/>
    </row>
    <row r="185" spans="1:37">
      <c r="A185" s="939"/>
      <c r="B185" s="2950"/>
      <c r="C185" s="2950"/>
      <c r="D185" s="2950"/>
      <c r="E185" s="2950"/>
      <c r="F185" s="2950"/>
      <c r="G185" s="2950"/>
      <c r="H185" s="2950"/>
      <c r="I185" s="2950"/>
      <c r="J185" s="2950"/>
      <c r="K185" s="2950"/>
      <c r="L185" s="2950"/>
      <c r="M185" s="2950"/>
      <c r="N185" s="2950"/>
      <c r="O185" s="2950"/>
      <c r="P185" s="2950"/>
      <c r="Q185" s="2950"/>
      <c r="R185" s="2950"/>
      <c r="S185" s="2950"/>
      <c r="T185" s="2950"/>
      <c r="U185" s="2950"/>
      <c r="V185" s="2950"/>
      <c r="W185" s="2950"/>
      <c r="X185" s="2950"/>
      <c r="Y185" s="2950"/>
      <c r="Z185" s="2950"/>
      <c r="AA185" s="2950"/>
      <c r="AB185" s="2950"/>
      <c r="AC185" s="1320"/>
      <c r="AD185" s="2951"/>
      <c r="AE185" s="2951"/>
      <c r="AF185" s="2951"/>
      <c r="AG185" s="2951"/>
      <c r="AH185" s="2951"/>
      <c r="AI185" s="2951"/>
      <c r="AJ185" s="2951"/>
      <c r="AK185" s="947"/>
    </row>
    <row r="186" spans="1:37">
      <c r="A186" s="939"/>
      <c r="B186" s="2950"/>
      <c r="C186" s="2950"/>
      <c r="D186" s="2950"/>
      <c r="E186" s="2950"/>
      <c r="F186" s="2950"/>
      <c r="G186" s="2950"/>
      <c r="H186" s="2950"/>
      <c r="I186" s="2950"/>
      <c r="J186" s="2950"/>
      <c r="K186" s="2950"/>
      <c r="L186" s="2950"/>
      <c r="M186" s="2950"/>
      <c r="N186" s="2950"/>
      <c r="O186" s="2950"/>
      <c r="P186" s="2950"/>
      <c r="Q186" s="2950"/>
      <c r="R186" s="2950"/>
      <c r="S186" s="2950"/>
      <c r="T186" s="2950"/>
      <c r="U186" s="2950"/>
      <c r="V186" s="2950"/>
      <c r="W186" s="2950"/>
      <c r="X186" s="2950"/>
      <c r="Y186" s="2950"/>
      <c r="Z186" s="2950"/>
      <c r="AA186" s="2950"/>
      <c r="AB186" s="2950"/>
      <c r="AC186" s="1320"/>
      <c r="AD186" s="2951"/>
      <c r="AE186" s="2951"/>
      <c r="AF186" s="2951"/>
      <c r="AG186" s="2951"/>
      <c r="AH186" s="2951"/>
      <c r="AI186" s="2951"/>
      <c r="AJ186" s="2951"/>
      <c r="AK186" s="947"/>
    </row>
    <row r="187" spans="1:37">
      <c r="A187" s="939"/>
      <c r="B187" s="2950"/>
      <c r="C187" s="2950"/>
      <c r="D187" s="2950"/>
      <c r="E187" s="2950"/>
      <c r="F187" s="2950"/>
      <c r="G187" s="2950"/>
      <c r="H187" s="2950"/>
      <c r="I187" s="2950"/>
      <c r="J187" s="2950"/>
      <c r="K187" s="2950"/>
      <c r="L187" s="2950"/>
      <c r="M187" s="2950"/>
      <c r="N187" s="2950"/>
      <c r="O187" s="2950"/>
      <c r="P187" s="2950"/>
      <c r="Q187" s="2950"/>
      <c r="R187" s="2950"/>
      <c r="S187" s="2950"/>
      <c r="T187" s="2950"/>
      <c r="U187" s="2950"/>
      <c r="V187" s="2950"/>
      <c r="W187" s="2950"/>
      <c r="X187" s="2950"/>
      <c r="Y187" s="2950"/>
      <c r="Z187" s="2950"/>
      <c r="AA187" s="2950"/>
      <c r="AB187" s="2950"/>
      <c r="AC187" s="1320"/>
      <c r="AD187" s="2951"/>
      <c r="AE187" s="2951"/>
      <c r="AF187" s="2951"/>
      <c r="AG187" s="2951"/>
      <c r="AH187" s="2951"/>
      <c r="AI187" s="2951"/>
      <c r="AJ187" s="2951"/>
      <c r="AK187" s="947"/>
    </row>
    <row r="188" spans="1:37">
      <c r="A188" s="939"/>
      <c r="B188" s="2950"/>
      <c r="C188" s="2950"/>
      <c r="D188" s="2950"/>
      <c r="E188" s="2950"/>
      <c r="F188" s="2950"/>
      <c r="G188" s="2950"/>
      <c r="H188" s="2950"/>
      <c r="I188" s="2950"/>
      <c r="J188" s="2950"/>
      <c r="K188" s="2950"/>
      <c r="L188" s="2950"/>
      <c r="M188" s="2950"/>
      <c r="N188" s="2950"/>
      <c r="O188" s="2950"/>
      <c r="P188" s="2950"/>
      <c r="Q188" s="2950"/>
      <c r="R188" s="2950"/>
      <c r="S188" s="2950"/>
      <c r="T188" s="2950"/>
      <c r="U188" s="2950"/>
      <c r="V188" s="2950"/>
      <c r="W188" s="2950"/>
      <c r="X188" s="2950"/>
      <c r="Y188" s="2950"/>
      <c r="Z188" s="2950"/>
      <c r="AA188" s="2950"/>
      <c r="AB188" s="2950"/>
      <c r="AC188" s="1320"/>
      <c r="AD188" s="2951"/>
      <c r="AE188" s="2951"/>
      <c r="AF188" s="2951"/>
      <c r="AG188" s="2951"/>
      <c r="AH188" s="2951"/>
      <c r="AI188" s="2951"/>
      <c r="AJ188" s="2951"/>
      <c r="AK188" s="947"/>
    </row>
    <row r="189" spans="1:37">
      <c r="A189" s="939"/>
      <c r="B189" s="2950"/>
      <c r="C189" s="2950"/>
      <c r="D189" s="2950"/>
      <c r="E189" s="2950"/>
      <c r="F189" s="2950"/>
      <c r="G189" s="2950"/>
      <c r="H189" s="2950"/>
      <c r="I189" s="2950"/>
      <c r="J189" s="2950"/>
      <c r="K189" s="2950"/>
      <c r="L189" s="2950"/>
      <c r="M189" s="2950"/>
      <c r="N189" s="2950"/>
      <c r="O189" s="2950"/>
      <c r="P189" s="2950"/>
      <c r="Q189" s="2950"/>
      <c r="R189" s="2950"/>
      <c r="S189" s="2950"/>
      <c r="T189" s="2950"/>
      <c r="U189" s="2950"/>
      <c r="V189" s="2950"/>
      <c r="W189" s="2950"/>
      <c r="X189" s="2950"/>
      <c r="Y189" s="2950"/>
      <c r="Z189" s="2950"/>
      <c r="AA189" s="2950"/>
      <c r="AB189" s="2950"/>
      <c r="AC189" s="1320"/>
      <c r="AD189" s="2951"/>
      <c r="AE189" s="2951"/>
      <c r="AF189" s="2951"/>
      <c r="AG189" s="2951"/>
      <c r="AH189" s="2951"/>
      <c r="AI189" s="2951"/>
      <c r="AJ189" s="2951"/>
      <c r="AK189" s="947"/>
    </row>
    <row r="190" spans="1:37">
      <c r="A190" s="939"/>
      <c r="B190" s="2950"/>
      <c r="C190" s="2950"/>
      <c r="D190" s="2950"/>
      <c r="E190" s="2950"/>
      <c r="F190" s="2950"/>
      <c r="G190" s="2950"/>
      <c r="H190" s="2950"/>
      <c r="I190" s="2950"/>
      <c r="J190" s="2950"/>
      <c r="K190" s="2950"/>
      <c r="L190" s="2950"/>
      <c r="M190" s="2950"/>
      <c r="N190" s="2950"/>
      <c r="O190" s="2950"/>
      <c r="P190" s="2950"/>
      <c r="Q190" s="2950"/>
      <c r="R190" s="2950"/>
      <c r="S190" s="2950"/>
      <c r="T190" s="2950"/>
      <c r="U190" s="2950"/>
      <c r="V190" s="2950"/>
      <c r="W190" s="2950"/>
      <c r="X190" s="2950"/>
      <c r="Y190" s="2950"/>
      <c r="Z190" s="2950"/>
      <c r="AA190" s="2950"/>
      <c r="AB190" s="2950"/>
      <c r="AC190" s="1320"/>
      <c r="AD190" s="2951"/>
      <c r="AE190" s="2951"/>
      <c r="AF190" s="2951"/>
      <c r="AG190" s="2951"/>
      <c r="AH190" s="2951"/>
      <c r="AI190" s="2951"/>
      <c r="AJ190" s="2951"/>
      <c r="AK190" s="947"/>
    </row>
    <row r="191" spans="1:37">
      <c r="A191" s="939"/>
      <c r="B191" s="2950"/>
      <c r="C191" s="2950"/>
      <c r="D191" s="2950"/>
      <c r="E191" s="2950"/>
      <c r="F191" s="2950"/>
      <c r="G191" s="2950"/>
      <c r="H191" s="2950"/>
      <c r="I191" s="2950"/>
      <c r="J191" s="2950"/>
      <c r="K191" s="2950"/>
      <c r="L191" s="2950"/>
      <c r="M191" s="2950"/>
      <c r="N191" s="2950"/>
      <c r="O191" s="2950"/>
      <c r="P191" s="2950"/>
      <c r="Q191" s="2950"/>
      <c r="R191" s="2950"/>
      <c r="S191" s="2950"/>
      <c r="T191" s="2950"/>
      <c r="U191" s="2950"/>
      <c r="V191" s="2950"/>
      <c r="W191" s="2950"/>
      <c r="X191" s="2950"/>
      <c r="Y191" s="2950"/>
      <c r="Z191" s="2950"/>
      <c r="AA191" s="2950"/>
      <c r="AB191" s="2950"/>
      <c r="AC191" s="1320"/>
      <c r="AD191" s="2951"/>
      <c r="AE191" s="2951"/>
      <c r="AF191" s="2951"/>
      <c r="AG191" s="2951"/>
      <c r="AH191" s="2951"/>
      <c r="AI191" s="2951"/>
      <c r="AJ191" s="2951"/>
      <c r="AK191" s="947"/>
    </row>
    <row r="192" spans="1:37">
      <c r="A192" s="939"/>
      <c r="B192" s="3134" t="s">
        <v>1947</v>
      </c>
      <c r="C192" s="3134"/>
      <c r="D192" s="3134"/>
      <c r="E192" s="3134"/>
      <c r="F192" s="3134"/>
      <c r="G192" s="3134"/>
      <c r="H192" s="3134"/>
      <c r="I192" s="3134"/>
      <c r="J192" s="3134"/>
      <c r="K192" s="3134"/>
      <c r="L192" s="3134"/>
      <c r="M192" s="3134"/>
      <c r="N192" s="3134"/>
      <c r="O192" s="3134"/>
      <c r="P192" s="3134"/>
      <c r="Q192" s="3134"/>
      <c r="R192" s="3134"/>
      <c r="S192" s="3134"/>
      <c r="T192" s="3134"/>
      <c r="U192" s="3134"/>
      <c r="V192" s="3134"/>
      <c r="W192" s="3134"/>
      <c r="X192" s="3134"/>
      <c r="Y192" s="3134"/>
      <c r="Z192" s="3134"/>
      <c r="AA192" s="3134"/>
      <c r="AB192" s="3134"/>
      <c r="AC192" s="850"/>
      <c r="AD192" s="2987">
        <f>AB243</f>
        <v>1963454.354165135</v>
      </c>
      <c r="AE192" s="2987"/>
      <c r="AF192" s="2987"/>
      <c r="AG192" s="2987"/>
      <c r="AH192" s="2987"/>
      <c r="AI192" s="2987"/>
      <c r="AJ192" s="2987"/>
      <c r="AK192" s="947"/>
    </row>
    <row r="193" spans="1:37">
      <c r="A193" s="939"/>
      <c r="B193" s="3133" t="s">
        <v>1910</v>
      </c>
      <c r="C193" s="3133"/>
      <c r="D193" s="3133"/>
      <c r="E193" s="3133"/>
      <c r="F193" s="3133"/>
      <c r="G193" s="3133"/>
      <c r="H193" s="3133"/>
      <c r="I193" s="3133"/>
      <c r="J193" s="3133"/>
      <c r="K193" s="3133"/>
      <c r="L193" s="3133"/>
      <c r="M193" s="3133"/>
      <c r="N193" s="3133"/>
      <c r="O193" s="3133"/>
      <c r="P193" s="3133"/>
      <c r="Q193" s="3133"/>
      <c r="R193" s="3133"/>
      <c r="S193" s="3133"/>
      <c r="T193" s="3133"/>
      <c r="U193" s="3133"/>
      <c r="V193" s="3133"/>
      <c r="W193" s="3133"/>
      <c r="X193" s="3133"/>
      <c r="Y193" s="3133"/>
      <c r="Z193" s="3133"/>
      <c r="AA193" s="3133"/>
      <c r="AB193" s="3133"/>
      <c r="AC193" s="1320"/>
      <c r="AD193" s="2988">
        <f>'Sources and Uses Budget'!B15</f>
        <v>0</v>
      </c>
      <c r="AE193" s="2988"/>
      <c r="AF193" s="2988"/>
      <c r="AG193" s="2988"/>
      <c r="AH193" s="2988"/>
      <c r="AI193" s="2988"/>
      <c r="AJ193" s="2988"/>
      <c r="AK193" s="947"/>
    </row>
    <row r="194" spans="1:37">
      <c r="A194" s="939"/>
      <c r="B194" s="785"/>
      <c r="C194" s="785"/>
      <c r="D194" s="785"/>
      <c r="E194" s="785"/>
      <c r="F194" s="785"/>
      <c r="G194" s="785"/>
      <c r="H194" s="785"/>
      <c r="I194" s="785"/>
      <c r="J194" s="785"/>
      <c r="K194" s="785"/>
      <c r="L194" s="785"/>
      <c r="M194" s="785"/>
      <c r="N194" s="785"/>
      <c r="O194" s="785"/>
      <c r="P194" s="785"/>
      <c r="Q194" s="785"/>
      <c r="R194" s="785"/>
      <c r="S194" s="785"/>
      <c r="T194" s="785"/>
      <c r="U194" s="785"/>
      <c r="V194" s="785"/>
      <c r="W194" s="785"/>
      <c r="X194" s="785"/>
      <c r="Y194" s="785"/>
      <c r="Z194" s="785"/>
      <c r="AA194" s="785"/>
      <c r="AB194" s="1333" t="s">
        <v>972</v>
      </c>
      <c r="AC194" s="850"/>
      <c r="AD194" s="2992">
        <f>SUM(AD182:AJ192)-AD193</f>
        <v>12405581.354165135</v>
      </c>
      <c r="AE194" s="2992"/>
      <c r="AF194" s="2992"/>
      <c r="AG194" s="2992"/>
      <c r="AH194" s="2992"/>
      <c r="AI194" s="2992"/>
      <c r="AJ194" s="2992"/>
      <c r="AK194" s="947"/>
    </row>
    <row r="195" spans="1:37">
      <c r="A195" s="939"/>
      <c r="B195" s="939"/>
      <c r="C195" s="1029"/>
      <c r="D195" s="1294"/>
      <c r="E195" s="1294"/>
      <c r="F195" s="1294"/>
      <c r="G195" s="1294"/>
      <c r="H195" s="1294"/>
      <c r="I195" s="1294"/>
      <c r="J195" s="1294"/>
      <c r="K195" s="850"/>
      <c r="L195" s="850"/>
      <c r="M195" s="850"/>
      <c r="N195" s="850"/>
      <c r="O195" s="850"/>
      <c r="P195" s="850"/>
      <c r="Q195" s="850"/>
      <c r="R195" s="850"/>
      <c r="S195" s="850"/>
      <c r="T195" s="850"/>
      <c r="U195" s="850"/>
      <c r="V195" s="850"/>
      <c r="W195" s="850"/>
      <c r="X195" s="850"/>
      <c r="Y195" s="1003"/>
      <c r="Z195" s="1003"/>
      <c r="AA195" s="1003"/>
      <c r="AB195" s="1003"/>
      <c r="AC195" s="850"/>
      <c r="AD195" s="850"/>
      <c r="AE195" s="947"/>
      <c r="AF195" s="947"/>
      <c r="AG195" s="947"/>
      <c r="AH195" s="947"/>
      <c r="AI195" s="947"/>
      <c r="AJ195" s="947"/>
      <c r="AK195" s="947"/>
    </row>
    <row r="196" spans="1:37">
      <c r="A196" s="939"/>
      <c r="B196" s="1303" t="s">
        <v>1915</v>
      </c>
      <c r="C196" s="1029"/>
      <c r="D196" s="1294"/>
      <c r="E196" s="1294"/>
      <c r="F196" s="1294"/>
      <c r="G196" s="1294"/>
      <c r="H196" s="1294"/>
      <c r="I196" s="1294"/>
      <c r="J196" s="1294"/>
      <c r="K196" s="850"/>
      <c r="L196" s="850"/>
      <c r="M196" s="850"/>
      <c r="N196" s="850"/>
      <c r="O196" s="850"/>
      <c r="P196" s="850"/>
      <c r="Q196" s="850"/>
      <c r="R196" s="850"/>
      <c r="S196" s="850"/>
      <c r="T196" s="850"/>
      <c r="U196" s="850"/>
      <c r="V196" s="850"/>
      <c r="W196" s="850"/>
      <c r="X196" s="850"/>
      <c r="Y196" s="1003"/>
      <c r="Z196" s="1003"/>
      <c r="AA196" s="1003"/>
      <c r="AB196" s="1003"/>
      <c r="AC196" s="850"/>
      <c r="AD196" s="850"/>
      <c r="AE196" s="947"/>
      <c r="AF196" s="947"/>
      <c r="AG196" s="947"/>
      <c r="AH196" s="947"/>
      <c r="AI196" s="947"/>
      <c r="AJ196" s="947"/>
      <c r="AK196" s="947"/>
    </row>
    <row r="197" spans="1:37">
      <c r="A197" s="939"/>
      <c r="B197" s="921" t="s">
        <v>1946</v>
      </c>
      <c r="C197" s="1029"/>
      <c r="D197" s="1294"/>
      <c r="E197" s="1294"/>
      <c r="F197" s="1294"/>
      <c r="G197" s="1294"/>
      <c r="H197" s="1294"/>
      <c r="I197" s="1294"/>
      <c r="J197" s="1294"/>
      <c r="K197" s="850"/>
      <c r="L197" s="850"/>
      <c r="M197" s="850"/>
      <c r="N197" s="850"/>
      <c r="O197" s="850"/>
      <c r="P197" s="850"/>
      <c r="Q197" s="850"/>
      <c r="R197" s="850"/>
      <c r="S197" s="850"/>
      <c r="T197" s="850"/>
      <c r="U197" s="850"/>
      <c r="V197" s="850"/>
      <c r="W197" s="850"/>
      <c r="X197" s="850"/>
      <c r="Y197" s="1003"/>
      <c r="Z197" s="1003"/>
      <c r="AA197" s="1003"/>
      <c r="AB197" s="1003"/>
      <c r="AC197" s="850"/>
      <c r="AD197" s="850"/>
      <c r="AE197" s="947"/>
      <c r="AF197" s="947"/>
      <c r="AG197" s="947"/>
      <c r="AH197" s="947"/>
      <c r="AI197" s="947"/>
      <c r="AJ197" s="947"/>
      <c r="AK197" s="947"/>
    </row>
    <row r="198" spans="1:37">
      <c r="A198" s="1330"/>
      <c r="B198" s="1418" t="s">
        <v>1917</v>
      </c>
      <c r="C198" s="1419"/>
      <c r="D198" s="1420"/>
      <c r="E198" s="1420"/>
      <c r="F198" s="1420"/>
      <c r="G198" s="1420"/>
      <c r="H198" s="1420"/>
      <c r="I198" s="1420"/>
      <c r="J198" s="1420"/>
      <c r="K198" s="1421"/>
      <c r="L198" s="1421"/>
      <c r="M198" s="1421"/>
      <c r="N198" s="1421"/>
      <c r="O198" s="1421"/>
      <c r="P198" s="1421"/>
      <c r="Q198" s="1421"/>
      <c r="R198" s="1421"/>
      <c r="S198" s="1131"/>
      <c r="T198" s="1131"/>
      <c r="U198" s="1131"/>
      <c r="V198" s="1131"/>
      <c r="W198" s="1131"/>
      <c r="X198" s="1131"/>
      <c r="Y198" s="1295"/>
      <c r="Z198" s="1295"/>
      <c r="AA198" s="1295"/>
      <c r="AB198" s="1295"/>
      <c r="AC198" s="1131"/>
      <c r="AD198" s="1131"/>
      <c r="AE198" s="1296"/>
      <c r="AF198" s="1296"/>
      <c r="AG198" s="1296"/>
      <c r="AH198" s="1296"/>
      <c r="AI198" s="1296"/>
      <c r="AJ198" s="1297"/>
      <c r="AK198" s="947"/>
    </row>
    <row r="199" spans="1:37">
      <c r="A199" s="1330"/>
      <c r="B199" s="1422" t="s">
        <v>1918</v>
      </c>
      <c r="C199" s="1423"/>
      <c r="D199" s="1424"/>
      <c r="E199" s="1424"/>
      <c r="F199" s="1424"/>
      <c r="G199" s="1424"/>
      <c r="H199" s="1424"/>
      <c r="I199" s="1424"/>
      <c r="J199" s="1424"/>
      <c r="K199" s="1425"/>
      <c r="L199" s="1425"/>
      <c r="M199" s="1425"/>
      <c r="N199" s="1425"/>
      <c r="O199" s="1425"/>
      <c r="P199" s="1425"/>
      <c r="Q199" s="1425"/>
      <c r="R199" s="1425"/>
      <c r="S199" s="914"/>
      <c r="T199" s="914"/>
      <c r="U199" s="914"/>
      <c r="V199" s="914"/>
      <c r="W199" s="914"/>
      <c r="X199" s="914"/>
      <c r="Y199" s="1003"/>
      <c r="Z199" s="1003"/>
      <c r="AA199" s="1003"/>
      <c r="AB199" s="1003"/>
      <c r="AC199" s="914"/>
      <c r="AD199" s="914"/>
      <c r="AE199" s="947"/>
      <c r="AF199" s="947"/>
      <c r="AG199" s="947"/>
      <c r="AH199" s="947"/>
      <c r="AI199" s="947"/>
      <c r="AJ199" s="1298"/>
      <c r="AK199" s="947"/>
    </row>
    <row r="200" spans="1:37">
      <c r="A200" s="1330"/>
      <c r="B200" s="1422" t="s">
        <v>2002</v>
      </c>
      <c r="C200" s="1423"/>
      <c r="D200" s="1424"/>
      <c r="E200" s="1424"/>
      <c r="F200" s="1424"/>
      <c r="G200" s="1424"/>
      <c r="H200" s="1424"/>
      <c r="I200" s="1424"/>
      <c r="J200" s="1424"/>
      <c r="K200" s="1425"/>
      <c r="L200" s="1425"/>
      <c r="M200" s="1425"/>
      <c r="N200" s="1425"/>
      <c r="O200" s="1425"/>
      <c r="P200" s="1425"/>
      <c r="Q200" s="1425"/>
      <c r="R200" s="1425"/>
      <c r="S200" s="914"/>
      <c r="T200" s="914"/>
      <c r="U200" s="914"/>
      <c r="V200" s="914"/>
      <c r="W200" s="914"/>
      <c r="X200" s="914"/>
      <c r="Y200" s="1003"/>
      <c r="Z200" s="1003"/>
      <c r="AA200" s="1003"/>
      <c r="AB200" s="1003"/>
      <c r="AC200" s="914"/>
      <c r="AD200" s="914"/>
      <c r="AE200" s="947"/>
      <c r="AF200" s="947"/>
      <c r="AG200" s="947"/>
      <c r="AH200" s="947"/>
      <c r="AI200" s="947"/>
      <c r="AJ200" s="1298"/>
      <c r="AK200" s="947"/>
    </row>
    <row r="201" spans="1:37">
      <c r="A201" s="1330"/>
      <c r="B201" s="1422" t="s">
        <v>1919</v>
      </c>
      <c r="C201" s="1423"/>
      <c r="D201" s="1424"/>
      <c r="E201" s="1424"/>
      <c r="F201" s="1424"/>
      <c r="G201" s="1424"/>
      <c r="H201" s="1424"/>
      <c r="I201" s="1424"/>
      <c r="J201" s="1424"/>
      <c r="K201" s="1425"/>
      <c r="L201" s="1425"/>
      <c r="M201" s="1425"/>
      <c r="N201" s="1425"/>
      <c r="O201" s="1425"/>
      <c r="P201" s="1425"/>
      <c r="Q201" s="1425"/>
      <c r="R201" s="1425"/>
      <c r="S201" s="914"/>
      <c r="T201" s="914"/>
      <c r="U201" s="914"/>
      <c r="V201" s="914"/>
      <c r="W201" s="914"/>
      <c r="X201" s="914"/>
      <c r="Y201" s="1003"/>
      <c r="Z201" s="1003"/>
      <c r="AA201" s="1003"/>
      <c r="AB201" s="1003"/>
      <c r="AC201" s="914"/>
      <c r="AD201" s="914"/>
      <c r="AE201" s="947"/>
      <c r="AF201" s="947"/>
      <c r="AG201" s="947"/>
      <c r="AH201" s="947"/>
      <c r="AI201" s="947"/>
      <c r="AJ201" s="1298"/>
      <c r="AK201" s="947"/>
    </row>
    <row r="202" spans="1:37">
      <c r="A202" s="1330"/>
      <c r="B202" s="1426" t="s">
        <v>1920</v>
      </c>
      <c r="C202" s="1423"/>
      <c r="D202" s="1424"/>
      <c r="E202" s="1424"/>
      <c r="F202" s="1424"/>
      <c r="G202" s="1424"/>
      <c r="H202" s="1424"/>
      <c r="I202" s="1424"/>
      <c r="J202" s="1424"/>
      <c r="K202" s="1425"/>
      <c r="L202" s="1425"/>
      <c r="M202" s="1425"/>
      <c r="N202" s="1425"/>
      <c r="O202" s="1425"/>
      <c r="P202" s="1425"/>
      <c r="Q202" s="1425"/>
      <c r="R202" s="1425"/>
      <c r="S202" s="914"/>
      <c r="T202" s="914"/>
      <c r="U202" s="914"/>
      <c r="V202" s="914"/>
      <c r="W202" s="914"/>
      <c r="X202" s="914"/>
      <c r="Y202" s="1003"/>
      <c r="Z202" s="1003"/>
      <c r="AA202" s="1003"/>
      <c r="AB202" s="1003"/>
      <c r="AC202" s="914"/>
      <c r="AD202" s="914"/>
      <c r="AE202" s="947"/>
      <c r="AF202" s="947"/>
      <c r="AG202" s="947"/>
      <c r="AH202" s="947"/>
      <c r="AI202" s="947"/>
      <c r="AJ202" s="1298"/>
      <c r="AK202" s="947"/>
    </row>
    <row r="203" spans="1:37">
      <c r="A203" s="1330"/>
      <c r="B203" s="1427" t="s">
        <v>2004</v>
      </c>
      <c r="C203" s="1428"/>
      <c r="D203" s="1429"/>
      <c r="E203" s="1429"/>
      <c r="F203" s="1429"/>
      <c r="G203" s="1429"/>
      <c r="H203" s="1429"/>
      <c r="I203" s="1429"/>
      <c r="J203" s="1429"/>
      <c r="K203" s="1430"/>
      <c r="L203" s="1430"/>
      <c r="M203" s="1430"/>
      <c r="N203" s="1430"/>
      <c r="O203" s="1430"/>
      <c r="P203" s="1430"/>
      <c r="Q203" s="1430"/>
      <c r="R203" s="1430"/>
      <c r="S203" s="1121"/>
      <c r="T203" s="1121"/>
      <c r="U203" s="1121"/>
      <c r="V203" s="1121"/>
      <c r="W203" s="1121"/>
      <c r="X203" s="1121"/>
      <c r="Y203" s="1299"/>
      <c r="Z203" s="1299"/>
      <c r="AA203" s="1299"/>
      <c r="AB203" s="1299"/>
      <c r="AC203" s="1121"/>
      <c r="AD203" s="1121"/>
      <c r="AE203" s="1300"/>
      <c r="AF203" s="1300"/>
      <c r="AG203" s="1300"/>
      <c r="AH203" s="1300"/>
      <c r="AI203" s="1300"/>
      <c r="AJ203" s="1301"/>
      <c r="AK203" s="947"/>
    </row>
    <row r="204" spans="1:37">
      <c r="A204" s="939"/>
      <c r="B204" s="939"/>
      <c r="C204" s="1029"/>
      <c r="D204" s="1294"/>
      <c r="E204" s="1294"/>
      <c r="F204" s="1294"/>
      <c r="G204" s="1294"/>
      <c r="H204" s="1294"/>
      <c r="I204" s="1294"/>
      <c r="J204" s="1294"/>
      <c r="K204" s="850"/>
      <c r="L204" s="850"/>
      <c r="M204" s="850"/>
      <c r="N204" s="850"/>
      <c r="O204" s="850"/>
      <c r="P204" s="850"/>
      <c r="Q204" s="850"/>
      <c r="R204" s="850"/>
      <c r="S204" s="850"/>
      <c r="T204" s="850"/>
      <c r="U204" s="850"/>
      <c r="V204" s="850"/>
      <c r="W204" s="850"/>
      <c r="X204" s="850"/>
      <c r="Y204" s="1003"/>
      <c r="Z204" s="1003"/>
      <c r="AA204" s="1003"/>
      <c r="AB204" s="1003"/>
      <c r="AC204" s="850"/>
      <c r="AD204" s="850"/>
      <c r="AE204" s="947"/>
      <c r="AF204" s="947"/>
      <c r="AG204" s="947"/>
      <c r="AH204" s="947"/>
      <c r="AI204" s="947"/>
      <c r="AJ204" s="947"/>
      <c r="AK204" s="947"/>
    </row>
    <row r="205" spans="1:37">
      <c r="A205" s="939"/>
      <c r="B205" s="1322"/>
      <c r="C205" s="917"/>
      <c r="D205" s="1323"/>
      <c r="E205" s="112"/>
      <c r="F205" s="112"/>
      <c r="G205" s="112"/>
      <c r="H205" s="112"/>
      <c r="I205" s="2954" t="s">
        <v>1927</v>
      </c>
      <c r="J205" s="2954"/>
      <c r="K205" s="2954"/>
      <c r="L205" s="914"/>
      <c r="M205" s="914"/>
      <c r="N205" s="914"/>
      <c r="O205" s="914"/>
      <c r="P205" s="914"/>
      <c r="Q205" s="914"/>
      <c r="R205" s="914"/>
      <c r="S205" s="914"/>
      <c r="T205" s="3150" t="s">
        <v>1921</v>
      </c>
      <c r="U205" s="3150"/>
      <c r="V205" s="3150"/>
      <c r="W205" s="3150"/>
      <c r="X205" s="3150"/>
      <c r="Y205" s="3150"/>
      <c r="Z205" s="1324"/>
      <c r="AA205" s="1325"/>
      <c r="AB205" s="2971" t="s">
        <v>1922</v>
      </c>
      <c r="AC205" s="2971"/>
      <c r="AD205" s="2971"/>
      <c r="AE205" s="2971"/>
      <c r="AF205" s="2971"/>
      <c r="AG205" s="2971"/>
      <c r="AH205" s="1294"/>
      <c r="AI205" s="1294"/>
      <c r="AJ205" s="1294"/>
      <c r="AK205" s="947"/>
    </row>
    <row r="206" spans="1:37">
      <c r="A206" s="939"/>
      <c r="B206" s="2952" t="s">
        <v>1900</v>
      </c>
      <c r="C206" s="2952"/>
      <c r="D206" s="2952"/>
      <c r="E206" s="2952"/>
      <c r="F206" s="2952"/>
      <c r="G206" s="2952"/>
      <c r="I206" s="2953" t="s">
        <v>1928</v>
      </c>
      <c r="J206" s="2953"/>
      <c r="K206" s="2953"/>
      <c r="L206" s="1660"/>
      <c r="N206" s="2959" t="s">
        <v>1923</v>
      </c>
      <c r="O206" s="2959"/>
      <c r="P206" s="2959"/>
      <c r="Q206" s="2959"/>
      <c r="R206" s="2959"/>
      <c r="T206" s="2959" t="s">
        <v>1924</v>
      </c>
      <c r="U206" s="2959"/>
      <c r="V206" s="2959"/>
      <c r="W206" s="2959"/>
      <c r="X206" s="2959"/>
      <c r="Y206" s="2959"/>
      <c r="Z206" s="1326"/>
      <c r="AA206" s="1325"/>
      <c r="AB206" s="3135" t="s">
        <v>1925</v>
      </c>
      <c r="AC206" s="3135"/>
      <c r="AD206" s="3135"/>
      <c r="AE206" s="3135"/>
      <c r="AF206" s="3135"/>
      <c r="AG206" s="3135"/>
      <c r="AH206" s="1294"/>
      <c r="AI206" s="1294"/>
      <c r="AJ206" s="1294"/>
      <c r="AK206" s="947"/>
    </row>
    <row r="207" spans="1:37">
      <c r="A207" s="939"/>
      <c r="B207" s="2956" t="s">
        <v>2484</v>
      </c>
      <c r="C207" s="2956"/>
      <c r="D207" s="2956"/>
      <c r="E207" s="2956"/>
      <c r="F207" s="2956"/>
      <c r="G207" s="2956"/>
      <c r="H207" s="1328"/>
      <c r="I207" s="2955">
        <v>1</v>
      </c>
      <c r="J207" s="2955"/>
      <c r="K207" s="2955"/>
      <c r="L207" s="1660"/>
      <c r="N207" s="2960">
        <f>727-124</f>
        <v>603</v>
      </c>
      <c r="O207" s="2960"/>
      <c r="P207" s="2960"/>
      <c r="Q207" s="2960"/>
      <c r="R207" s="2960"/>
      <c r="T207" s="2970">
        <v>1454</v>
      </c>
      <c r="U207" s="2970"/>
      <c r="V207" s="2970"/>
      <c r="W207" s="2970"/>
      <c r="X207" s="2970"/>
      <c r="Y207" s="2970"/>
      <c r="Z207" s="1327"/>
      <c r="AA207" s="1327"/>
      <c r="AB207" s="2957">
        <f t="shared" ref="AB207:AB216" si="0">MAX(($T207-$N207)*$I207*12,0)</f>
        <v>10212</v>
      </c>
      <c r="AC207" s="2957"/>
      <c r="AD207" s="2957"/>
      <c r="AE207" s="2957"/>
      <c r="AF207" s="2957"/>
      <c r="AG207" s="2957"/>
      <c r="AH207" s="1294"/>
      <c r="AI207" s="1294"/>
      <c r="AJ207" s="1294"/>
      <c r="AK207" s="947"/>
    </row>
    <row r="208" spans="1:37">
      <c r="A208" s="939"/>
      <c r="B208" s="2956" t="s">
        <v>2485</v>
      </c>
      <c r="C208" s="2956"/>
      <c r="D208" s="2956"/>
      <c r="E208" s="2956"/>
      <c r="F208" s="2956"/>
      <c r="G208" s="2956"/>
      <c r="I208" s="2955">
        <v>7</v>
      </c>
      <c r="J208" s="2955"/>
      <c r="K208" s="2955"/>
      <c r="L208" s="1660"/>
      <c r="N208" s="2960">
        <f>873-174</f>
        <v>699</v>
      </c>
      <c r="O208" s="2960"/>
      <c r="P208" s="2960"/>
      <c r="Q208" s="2960"/>
      <c r="R208" s="2960"/>
      <c r="T208" s="2970">
        <v>1754</v>
      </c>
      <c r="U208" s="2970"/>
      <c r="V208" s="2970"/>
      <c r="W208" s="2970"/>
      <c r="X208" s="2970"/>
      <c r="Y208" s="2970"/>
      <c r="Z208" s="1327"/>
      <c r="AA208" s="1327"/>
      <c r="AB208" s="2957">
        <f t="shared" si="0"/>
        <v>88620</v>
      </c>
      <c r="AC208" s="2957"/>
      <c r="AD208" s="2957"/>
      <c r="AE208" s="2957"/>
      <c r="AF208" s="2957"/>
      <c r="AG208" s="2957"/>
      <c r="AH208" s="1294"/>
      <c r="AI208" s="1294"/>
      <c r="AJ208" s="1294"/>
      <c r="AK208" s="947"/>
    </row>
    <row r="209" spans="1:37">
      <c r="A209" s="939"/>
      <c r="B209" s="2956" t="s">
        <v>2486</v>
      </c>
      <c r="C209" s="2956"/>
      <c r="D209" s="2956"/>
      <c r="E209" s="2956"/>
      <c r="F209" s="2956"/>
      <c r="G209" s="2956"/>
      <c r="I209" s="2955">
        <v>7</v>
      </c>
      <c r="J209" s="2955"/>
      <c r="K209" s="2955"/>
      <c r="L209" s="1660"/>
      <c r="N209" s="2960">
        <f>1008-243</f>
        <v>765</v>
      </c>
      <c r="O209" s="2960"/>
      <c r="P209" s="2960"/>
      <c r="Q209" s="2960"/>
      <c r="R209" s="2960"/>
      <c r="T209" s="2970">
        <v>2100</v>
      </c>
      <c r="U209" s="2970"/>
      <c r="V209" s="2970"/>
      <c r="W209" s="2970"/>
      <c r="X209" s="2970"/>
      <c r="Y209" s="2970"/>
      <c r="Z209" s="1327"/>
      <c r="AA209" s="1327"/>
      <c r="AB209" s="2957">
        <f t="shared" si="0"/>
        <v>112140</v>
      </c>
      <c r="AC209" s="2957"/>
      <c r="AD209" s="2957"/>
      <c r="AE209" s="2957"/>
      <c r="AF209" s="2957"/>
      <c r="AG209" s="2957"/>
      <c r="AH209" s="1294"/>
      <c r="AI209" s="1294"/>
      <c r="AJ209" s="1294"/>
      <c r="AK209" s="947"/>
    </row>
    <row r="210" spans="1:37">
      <c r="A210" s="939"/>
      <c r="B210" s="2956" t="s">
        <v>1388</v>
      </c>
      <c r="C210" s="2956"/>
      <c r="D210" s="2956"/>
      <c r="E210" s="2956"/>
      <c r="F210" s="2956"/>
      <c r="G210" s="2956"/>
      <c r="I210" s="2955"/>
      <c r="J210" s="2955"/>
      <c r="K210" s="2955"/>
      <c r="L210" s="1660"/>
      <c r="N210" s="2960"/>
      <c r="O210" s="2960"/>
      <c r="P210" s="2960"/>
      <c r="Q210" s="2960"/>
      <c r="R210" s="2960"/>
      <c r="T210" s="2970"/>
      <c r="U210" s="2970"/>
      <c r="V210" s="2970"/>
      <c r="W210" s="2970"/>
      <c r="X210" s="2970"/>
      <c r="Y210" s="2970"/>
      <c r="Z210" s="1327"/>
      <c r="AA210" s="1327"/>
      <c r="AB210" s="2957">
        <f t="shared" si="0"/>
        <v>0</v>
      </c>
      <c r="AC210" s="2957"/>
      <c r="AD210" s="2957"/>
      <c r="AE210" s="2957"/>
      <c r="AF210" s="2957"/>
      <c r="AG210" s="2957"/>
      <c r="AH210" s="1294"/>
      <c r="AI210" s="1294"/>
      <c r="AJ210" s="1294"/>
      <c r="AK210" s="947"/>
    </row>
    <row r="211" spans="1:37">
      <c r="A211" s="939"/>
      <c r="B211" s="2956" t="s">
        <v>1388</v>
      </c>
      <c r="C211" s="2956"/>
      <c r="D211" s="2956"/>
      <c r="E211" s="2956"/>
      <c r="F211" s="2956"/>
      <c r="G211" s="2956"/>
      <c r="I211" s="2955"/>
      <c r="J211" s="2955"/>
      <c r="K211" s="2955"/>
      <c r="L211" s="1672"/>
      <c r="N211" s="2960"/>
      <c r="O211" s="2960"/>
      <c r="P211" s="2960"/>
      <c r="Q211" s="2960"/>
      <c r="R211" s="2960"/>
      <c r="T211" s="2970"/>
      <c r="U211" s="2970"/>
      <c r="V211" s="2970"/>
      <c r="W211" s="2970"/>
      <c r="X211" s="2970"/>
      <c r="Y211" s="2970"/>
      <c r="Z211" s="1327"/>
      <c r="AA211" s="1327"/>
      <c r="AB211" s="2957">
        <f t="shared" si="0"/>
        <v>0</v>
      </c>
      <c r="AC211" s="2957"/>
      <c r="AD211" s="2957"/>
      <c r="AE211" s="2957"/>
      <c r="AF211" s="2957"/>
      <c r="AG211" s="2957"/>
      <c r="AH211" s="1294"/>
      <c r="AI211" s="1294"/>
      <c r="AJ211" s="1294"/>
      <c r="AK211" s="947"/>
    </row>
    <row r="212" spans="1:37">
      <c r="A212" s="939"/>
      <c r="B212" s="2956" t="s">
        <v>1388</v>
      </c>
      <c r="C212" s="2956"/>
      <c r="D212" s="2956"/>
      <c r="E212" s="2956"/>
      <c r="F212" s="2956"/>
      <c r="G212" s="2956"/>
      <c r="I212" s="2955"/>
      <c r="J212" s="2955"/>
      <c r="K212" s="2955"/>
      <c r="L212" s="1672"/>
      <c r="N212" s="2960"/>
      <c r="O212" s="2960"/>
      <c r="P212" s="2960"/>
      <c r="Q212" s="2960"/>
      <c r="R212" s="2960"/>
      <c r="T212" s="2970"/>
      <c r="U212" s="2970"/>
      <c r="V212" s="2970"/>
      <c r="W212" s="2970"/>
      <c r="X212" s="2970"/>
      <c r="Y212" s="2970"/>
      <c r="Z212" s="1327"/>
      <c r="AA212" s="1327"/>
      <c r="AB212" s="2957">
        <f t="shared" si="0"/>
        <v>0</v>
      </c>
      <c r="AC212" s="2957"/>
      <c r="AD212" s="2957"/>
      <c r="AE212" s="2957"/>
      <c r="AF212" s="2957"/>
      <c r="AG212" s="2957"/>
      <c r="AH212" s="1294"/>
      <c r="AI212" s="1294"/>
      <c r="AJ212" s="1294"/>
      <c r="AK212" s="947"/>
    </row>
    <row r="213" spans="1:37">
      <c r="A213" s="939"/>
      <c r="B213" s="2956" t="s">
        <v>1388</v>
      </c>
      <c r="C213" s="2956"/>
      <c r="D213" s="2956"/>
      <c r="E213" s="2956"/>
      <c r="F213" s="2956"/>
      <c r="G213" s="2956"/>
      <c r="I213" s="2955"/>
      <c r="J213" s="2955"/>
      <c r="K213" s="2955"/>
      <c r="L213" s="1672"/>
      <c r="N213" s="2960"/>
      <c r="O213" s="2960"/>
      <c r="P213" s="2960"/>
      <c r="Q213" s="2960"/>
      <c r="R213" s="2960"/>
      <c r="T213" s="2970"/>
      <c r="U213" s="2970"/>
      <c r="V213" s="2970"/>
      <c r="W213" s="2970"/>
      <c r="X213" s="2970"/>
      <c r="Y213" s="2970"/>
      <c r="Z213" s="1327"/>
      <c r="AA213" s="1327"/>
      <c r="AB213" s="2957">
        <f t="shared" si="0"/>
        <v>0</v>
      </c>
      <c r="AC213" s="2957"/>
      <c r="AD213" s="2957"/>
      <c r="AE213" s="2957"/>
      <c r="AF213" s="2957"/>
      <c r="AG213" s="2957"/>
      <c r="AH213" s="1294"/>
      <c r="AI213" s="1294"/>
      <c r="AJ213" s="1294"/>
      <c r="AK213" s="947"/>
    </row>
    <row r="214" spans="1:37">
      <c r="A214" s="939"/>
      <c r="B214" s="2956" t="s">
        <v>1388</v>
      </c>
      <c r="C214" s="2956"/>
      <c r="D214" s="2956"/>
      <c r="E214" s="2956"/>
      <c r="F214" s="2956"/>
      <c r="G214" s="2956"/>
      <c r="I214" s="2955"/>
      <c r="J214" s="2955"/>
      <c r="K214" s="2955"/>
      <c r="L214" s="1672"/>
      <c r="N214" s="2960"/>
      <c r="O214" s="2960"/>
      <c r="P214" s="2960"/>
      <c r="Q214" s="2960"/>
      <c r="R214" s="2960"/>
      <c r="T214" s="2970"/>
      <c r="U214" s="2970"/>
      <c r="V214" s="2970"/>
      <c r="W214" s="2970"/>
      <c r="X214" s="2970"/>
      <c r="Y214" s="2970"/>
      <c r="Z214" s="1327"/>
      <c r="AA214" s="1327"/>
      <c r="AB214" s="2957">
        <f t="shared" si="0"/>
        <v>0</v>
      </c>
      <c r="AC214" s="2957"/>
      <c r="AD214" s="2957"/>
      <c r="AE214" s="2957"/>
      <c r="AF214" s="2957"/>
      <c r="AG214" s="2957"/>
      <c r="AH214" s="1294"/>
      <c r="AI214" s="1294"/>
      <c r="AJ214" s="1294"/>
      <c r="AK214" s="947"/>
    </row>
    <row r="215" spans="1:37">
      <c r="A215" s="939"/>
      <c r="B215" s="2956" t="s">
        <v>1388</v>
      </c>
      <c r="C215" s="2956"/>
      <c r="D215" s="2956"/>
      <c r="E215" s="2956"/>
      <c r="F215" s="2956"/>
      <c r="G215" s="2956"/>
      <c r="I215" s="2955"/>
      <c r="J215" s="2955"/>
      <c r="K215" s="2955"/>
      <c r="L215" s="1672"/>
      <c r="N215" s="2960"/>
      <c r="O215" s="2960"/>
      <c r="P215" s="2960"/>
      <c r="Q215" s="2960"/>
      <c r="R215" s="2960"/>
      <c r="T215" s="2970"/>
      <c r="U215" s="2970"/>
      <c r="V215" s="2970"/>
      <c r="W215" s="2970"/>
      <c r="X215" s="2970"/>
      <c r="Y215" s="2970"/>
      <c r="Z215" s="1327"/>
      <c r="AA215" s="1327"/>
      <c r="AB215" s="2957">
        <f t="shared" si="0"/>
        <v>0</v>
      </c>
      <c r="AC215" s="2957"/>
      <c r="AD215" s="2957"/>
      <c r="AE215" s="2957"/>
      <c r="AF215" s="2957"/>
      <c r="AG215" s="2957"/>
      <c r="AH215" s="1294"/>
      <c r="AI215" s="1294"/>
      <c r="AJ215" s="1294"/>
      <c r="AK215" s="947"/>
    </row>
    <row r="216" spans="1:37">
      <c r="A216" s="939"/>
      <c r="B216" s="2956" t="s">
        <v>1388</v>
      </c>
      <c r="C216" s="2956"/>
      <c r="D216" s="2956"/>
      <c r="E216" s="2956"/>
      <c r="F216" s="2956"/>
      <c r="G216" s="2956"/>
      <c r="I216" s="2958"/>
      <c r="J216" s="2958"/>
      <c r="K216" s="2958"/>
      <c r="L216" s="1672"/>
      <c r="N216" s="2960"/>
      <c r="O216" s="2960"/>
      <c r="P216" s="2960"/>
      <c r="Q216" s="2960"/>
      <c r="R216" s="2960"/>
      <c r="T216" s="2970"/>
      <c r="U216" s="2970"/>
      <c r="V216" s="2970"/>
      <c r="W216" s="2970"/>
      <c r="X216" s="2970"/>
      <c r="Y216" s="2970"/>
      <c r="Z216" s="1327"/>
      <c r="AA216" s="1327"/>
      <c r="AB216" s="3141">
        <f t="shared" si="0"/>
        <v>0</v>
      </c>
      <c r="AC216" s="3141"/>
      <c r="AD216" s="3141"/>
      <c r="AE216" s="3141"/>
      <c r="AF216" s="3141"/>
      <c r="AG216" s="3141"/>
      <c r="AH216" s="1294"/>
      <c r="AI216" s="1294"/>
      <c r="AJ216" s="1294"/>
      <c r="AK216" s="947"/>
    </row>
    <row r="217" spans="1:37">
      <c r="A217" s="939"/>
      <c r="B217" s="921"/>
      <c r="C217" s="1328"/>
      <c r="D217" s="917"/>
      <c r="K217" s="850"/>
      <c r="L217" s="850"/>
      <c r="M217" s="850"/>
      <c r="N217" s="850"/>
      <c r="O217" s="850"/>
      <c r="P217" s="850"/>
      <c r="Q217" s="850"/>
      <c r="R217" s="850"/>
      <c r="S217" s="850"/>
      <c r="T217" s="850"/>
      <c r="U217" s="850"/>
      <c r="V217" s="850"/>
      <c r="W217" s="850"/>
      <c r="X217" s="850"/>
      <c r="Y217" s="1329" t="s">
        <v>1926</v>
      </c>
      <c r="AA217" s="1659"/>
      <c r="AB217" s="2957">
        <f>SUM(AB207:AB216)</f>
        <v>210972</v>
      </c>
      <c r="AC217" s="2957"/>
      <c r="AD217" s="2957"/>
      <c r="AE217" s="2957"/>
      <c r="AF217" s="2957"/>
      <c r="AG217" s="2957"/>
      <c r="AH217" s="1294"/>
      <c r="AI217" s="1294"/>
      <c r="AJ217" s="1294"/>
      <c r="AK217" s="947"/>
    </row>
    <row r="218" spans="1:37">
      <c r="A218" s="939"/>
      <c r="B218" s="939"/>
      <c r="C218" s="1029"/>
      <c r="D218" s="1294"/>
      <c r="E218" s="1294"/>
      <c r="F218" s="1294"/>
      <c r="G218" s="1294"/>
      <c r="H218" s="1294"/>
      <c r="I218" s="1294"/>
      <c r="J218" s="1294"/>
      <c r="K218" s="866"/>
      <c r="L218" s="866"/>
      <c r="M218" s="866"/>
      <c r="N218" s="866"/>
      <c r="O218" s="866"/>
      <c r="P218" s="866"/>
      <c r="Q218" s="866"/>
      <c r="R218" s="866"/>
      <c r="S218" s="866"/>
      <c r="T218" s="866"/>
      <c r="U218" s="866"/>
      <c r="V218" s="866"/>
      <c r="W218" s="866"/>
      <c r="X218" s="866"/>
      <c r="Y218" s="1003"/>
      <c r="Z218" s="1003"/>
      <c r="AA218" s="1003"/>
      <c r="AB218" s="1003"/>
      <c r="AC218" s="866"/>
      <c r="AD218" s="866"/>
      <c r="AE218" s="947"/>
      <c r="AF218" s="947"/>
      <c r="AG218" s="947"/>
      <c r="AH218" s="947"/>
      <c r="AI218" s="947"/>
      <c r="AJ218" s="947"/>
      <c r="AK218" s="947"/>
    </row>
    <row r="219" spans="1:37">
      <c r="A219" s="939"/>
      <c r="B219" s="1303" t="s">
        <v>1916</v>
      </c>
      <c r="C219" s="1029"/>
      <c r="D219" s="1294"/>
      <c r="E219" s="1294"/>
      <c r="F219" s="1294"/>
      <c r="G219" s="1294"/>
      <c r="H219" s="1294"/>
      <c r="I219" s="1294"/>
      <c r="J219" s="1294"/>
      <c r="K219" s="850"/>
      <c r="L219" s="850"/>
      <c r="M219" s="850"/>
      <c r="N219" s="850"/>
      <c r="O219" s="850"/>
      <c r="P219" s="850"/>
      <c r="Q219" s="850"/>
      <c r="R219" s="850"/>
      <c r="S219" s="850"/>
      <c r="T219" s="850"/>
      <c r="U219" s="850"/>
      <c r="V219" s="850"/>
      <c r="W219" s="850"/>
      <c r="X219" s="850"/>
      <c r="Y219" s="1003"/>
      <c r="Z219" s="1003"/>
      <c r="AA219" s="1003"/>
      <c r="AB219" s="1003"/>
      <c r="AC219" s="850"/>
      <c r="AD219" s="850"/>
      <c r="AE219" s="947"/>
      <c r="AF219" s="947"/>
      <c r="AG219" s="947"/>
      <c r="AH219" s="947"/>
      <c r="AI219" s="947"/>
      <c r="AJ219" s="947"/>
      <c r="AK219" s="947"/>
    </row>
    <row r="220" spans="1:37">
      <c r="A220" s="939"/>
      <c r="B220" s="921" t="s">
        <v>1944</v>
      </c>
      <c r="C220" s="1029"/>
      <c r="D220" s="1294"/>
      <c r="E220" s="1294"/>
      <c r="F220" s="1294"/>
      <c r="G220" s="1294"/>
      <c r="H220" s="1294"/>
      <c r="I220" s="1294"/>
      <c r="J220" s="1294"/>
      <c r="K220" s="850"/>
      <c r="L220" s="850"/>
      <c r="M220" s="850"/>
      <c r="N220" s="850"/>
      <c r="O220" s="850"/>
      <c r="P220" s="850"/>
      <c r="Q220" s="850"/>
      <c r="R220" s="850"/>
      <c r="S220" s="850"/>
      <c r="T220" s="850"/>
      <c r="U220" s="850"/>
      <c r="V220" s="850"/>
      <c r="W220" s="850"/>
      <c r="X220" s="850"/>
      <c r="Y220" s="1003"/>
      <c r="Z220" s="1003"/>
      <c r="AA220" s="1003"/>
      <c r="AB220" s="1003"/>
      <c r="AC220" s="850"/>
      <c r="AD220" s="850"/>
      <c r="AE220" s="947"/>
      <c r="AF220" s="947"/>
      <c r="AG220" s="947"/>
      <c r="AH220" s="947"/>
      <c r="AI220" s="947"/>
      <c r="AJ220" s="947"/>
      <c r="AK220" s="947"/>
    </row>
    <row r="221" spans="1:37">
      <c r="A221" s="939"/>
      <c r="B221" s="921"/>
      <c r="C221" s="1029"/>
      <c r="D221" s="1294"/>
      <c r="E221" s="1294"/>
      <c r="F221" s="1294"/>
      <c r="G221" s="1294"/>
      <c r="H221" s="1294"/>
      <c r="I221" s="1294"/>
      <c r="J221" s="1294"/>
      <c r="K221" s="850"/>
      <c r="L221" s="850"/>
      <c r="M221" s="850"/>
      <c r="N221" s="850"/>
      <c r="O221" s="850"/>
      <c r="P221" s="850"/>
      <c r="Q221" s="850"/>
      <c r="R221" s="850"/>
      <c r="S221" s="850"/>
      <c r="T221" s="850"/>
      <c r="U221" s="850"/>
      <c r="V221" s="850"/>
      <c r="W221" s="850"/>
      <c r="X221" s="850"/>
      <c r="Y221" s="1003"/>
      <c r="Z221" s="1003"/>
      <c r="AA221" s="1003"/>
      <c r="AB221" s="1003"/>
      <c r="AC221" s="850"/>
      <c r="AD221" s="850"/>
      <c r="AE221" s="947"/>
      <c r="AF221" s="947"/>
      <c r="AG221" s="947"/>
      <c r="AH221" s="947"/>
      <c r="AI221" s="947"/>
      <c r="AJ221" s="947"/>
      <c r="AK221" s="947"/>
    </row>
    <row r="222" spans="1:37">
      <c r="A222" s="939"/>
      <c r="B222" s="1304" t="s">
        <v>1942</v>
      </c>
      <c r="C222" s="1029"/>
      <c r="D222" s="1294"/>
      <c r="E222" s="1294"/>
      <c r="F222" s="1294"/>
      <c r="G222" s="1294"/>
      <c r="H222" s="1294"/>
      <c r="I222" s="1294"/>
      <c r="J222" s="1294"/>
      <c r="K222" s="850"/>
      <c r="L222" s="850"/>
      <c r="M222" s="850"/>
      <c r="N222" s="850"/>
      <c r="O222" s="850"/>
      <c r="P222" s="850"/>
      <c r="Q222" s="850"/>
      <c r="R222" s="850"/>
      <c r="S222" s="850"/>
      <c r="T222" s="850"/>
      <c r="U222" s="850"/>
      <c r="V222" s="850"/>
      <c r="W222" s="850"/>
      <c r="X222" s="850"/>
      <c r="Y222" s="1003"/>
      <c r="Z222" s="1003"/>
      <c r="AA222" s="1003"/>
      <c r="AB222" s="1003"/>
      <c r="AC222" s="850"/>
      <c r="AD222" s="850"/>
      <c r="AE222" s="947"/>
      <c r="AF222" s="947"/>
      <c r="AG222" s="947"/>
      <c r="AH222" s="947"/>
      <c r="AI222" s="947"/>
      <c r="AJ222" s="947"/>
      <c r="AK222" s="947"/>
    </row>
    <row r="223" spans="1:37">
      <c r="A223" s="939"/>
      <c r="B223" s="1304" t="s">
        <v>1936</v>
      </c>
      <c r="C223" s="1029"/>
      <c r="D223" s="1294"/>
      <c r="E223" s="1294"/>
      <c r="F223" s="1294"/>
      <c r="G223" s="1294"/>
      <c r="H223" s="1294"/>
      <c r="I223" s="1294"/>
      <c r="J223" s="1294"/>
      <c r="K223" s="850"/>
      <c r="L223" s="850"/>
      <c r="M223" s="850"/>
      <c r="N223" s="850"/>
      <c r="O223" s="850"/>
      <c r="P223" s="850"/>
      <c r="Q223" s="850"/>
      <c r="R223" s="850"/>
      <c r="S223" s="850"/>
      <c r="T223" s="850"/>
      <c r="U223" s="850"/>
      <c r="V223" s="850"/>
      <c r="W223" s="850"/>
      <c r="X223" s="850"/>
      <c r="Y223" s="1003"/>
      <c r="Z223" s="1003"/>
      <c r="AA223" s="1003"/>
      <c r="AB223" s="2963"/>
      <c r="AC223" s="2963"/>
      <c r="AD223" s="2963"/>
      <c r="AE223" s="2963"/>
      <c r="AF223" s="2963"/>
      <c r="AG223" s="2963"/>
      <c r="AH223" s="947"/>
      <c r="AI223" s="947"/>
      <c r="AJ223" s="947"/>
      <c r="AK223" s="947"/>
    </row>
    <row r="224" spans="1:37">
      <c r="A224" s="939"/>
      <c r="B224" s="1306" t="s">
        <v>1941</v>
      </c>
      <c r="C224" s="958"/>
      <c r="D224" s="1302"/>
      <c r="E224" s="1294"/>
      <c r="F224" s="1294"/>
      <c r="G224" s="1294"/>
      <c r="H224" s="1294"/>
      <c r="I224" s="1294"/>
      <c r="J224" s="1294"/>
      <c r="K224" s="850"/>
      <c r="L224" s="850"/>
      <c r="M224" s="850"/>
      <c r="N224" s="850"/>
      <c r="O224" s="850"/>
      <c r="P224" s="850"/>
      <c r="Q224" s="850"/>
      <c r="R224" s="850"/>
      <c r="S224" s="850"/>
      <c r="T224" s="850"/>
      <c r="U224" s="850"/>
      <c r="V224" s="850"/>
      <c r="W224" s="850"/>
      <c r="X224" s="850"/>
      <c r="Y224" s="1003"/>
      <c r="Z224" s="1003"/>
      <c r="AA224" s="1003"/>
      <c r="AB224" s="1003"/>
      <c r="AC224" s="850"/>
      <c r="AD224" s="850"/>
      <c r="AE224" s="947"/>
      <c r="AF224" s="947"/>
      <c r="AG224" s="947"/>
      <c r="AH224" s="947"/>
      <c r="AI224" s="947"/>
      <c r="AJ224" s="947"/>
      <c r="AK224" s="947"/>
    </row>
    <row r="225" spans="1:37">
      <c r="A225" s="939"/>
      <c r="B225" s="1307" t="s">
        <v>1943</v>
      </c>
      <c r="C225" s="1029"/>
      <c r="D225" s="1294"/>
      <c r="E225" s="1294"/>
      <c r="F225" s="1294"/>
      <c r="G225" s="1294"/>
      <c r="H225" s="1294"/>
      <c r="I225" s="1294"/>
      <c r="J225" s="1294"/>
      <c r="K225" s="850"/>
      <c r="L225" s="850"/>
      <c r="M225" s="850"/>
      <c r="N225" s="850"/>
      <c r="O225" s="850"/>
      <c r="P225" s="850"/>
      <c r="Q225" s="850"/>
      <c r="R225" s="850"/>
      <c r="S225" s="850"/>
      <c r="T225" s="850"/>
      <c r="U225" s="850"/>
      <c r="V225" s="850"/>
      <c r="W225" s="850"/>
      <c r="X225" s="850"/>
      <c r="Y225" s="1003"/>
      <c r="Z225" s="1003"/>
      <c r="AA225" s="1003"/>
      <c r="AB225" s="1003"/>
      <c r="AC225" s="850"/>
      <c r="AD225" s="850"/>
      <c r="AE225" s="947"/>
      <c r="AF225" s="947"/>
      <c r="AG225" s="947"/>
      <c r="AH225" s="947"/>
      <c r="AI225" s="947"/>
      <c r="AJ225" s="947"/>
      <c r="AK225" s="947"/>
    </row>
    <row r="226" spans="1:37">
      <c r="A226" s="939"/>
      <c r="B226" s="1307" t="s">
        <v>1937</v>
      </c>
      <c r="C226" s="1029"/>
      <c r="D226" s="1294"/>
      <c r="E226" s="1294"/>
      <c r="F226" s="1294"/>
      <c r="G226" s="1294"/>
      <c r="H226" s="1294"/>
      <c r="I226" s="1294"/>
      <c r="J226" s="1294"/>
      <c r="K226" s="850"/>
      <c r="L226" s="850"/>
      <c r="M226" s="850"/>
      <c r="N226" s="850"/>
      <c r="O226" s="850"/>
      <c r="P226" s="850"/>
      <c r="Q226" s="850"/>
      <c r="R226" s="850"/>
      <c r="S226" s="850"/>
      <c r="T226" s="850"/>
      <c r="U226" s="850"/>
      <c r="V226" s="850"/>
      <c r="W226" s="850"/>
      <c r="X226" s="850"/>
      <c r="Y226" s="1003"/>
      <c r="Z226" s="1003"/>
      <c r="AA226" s="1003"/>
      <c r="AB226" s="2963"/>
      <c r="AC226" s="2963"/>
      <c r="AD226" s="2963"/>
      <c r="AE226" s="2963"/>
      <c r="AF226" s="2963"/>
      <c r="AG226" s="2963"/>
      <c r="AH226" s="947"/>
      <c r="AI226" s="947"/>
      <c r="AJ226" s="947"/>
      <c r="AK226" s="947"/>
    </row>
    <row r="227" spans="1:37">
      <c r="A227" s="939"/>
      <c r="B227" s="1307" t="s">
        <v>1938</v>
      </c>
      <c r="C227" s="1029"/>
      <c r="D227" s="1294"/>
      <c r="E227" s="1294"/>
      <c r="F227" s="1294"/>
      <c r="G227" s="1294"/>
      <c r="H227" s="1294"/>
      <c r="I227" s="1294"/>
      <c r="J227" s="1294"/>
      <c r="K227" s="850"/>
      <c r="L227" s="850"/>
      <c r="M227" s="850"/>
      <c r="N227" s="850"/>
      <c r="O227" s="850"/>
      <c r="P227" s="850"/>
      <c r="Q227" s="850"/>
      <c r="R227" s="850"/>
      <c r="S227" s="850"/>
      <c r="T227" s="850"/>
      <c r="U227" s="850"/>
      <c r="V227" s="850"/>
      <c r="W227" s="850"/>
      <c r="X227" s="850"/>
      <c r="Y227" s="1003"/>
      <c r="Z227" s="1003"/>
      <c r="AA227" s="1003"/>
      <c r="AB227" s="3149"/>
      <c r="AC227" s="3149"/>
      <c r="AD227" s="3149"/>
      <c r="AE227" s="3149"/>
      <c r="AF227" s="3149"/>
      <c r="AG227" s="3149"/>
      <c r="AH227" s="947"/>
      <c r="AI227" s="947"/>
      <c r="AJ227" s="947"/>
      <c r="AK227" s="947"/>
    </row>
    <row r="228" spans="1:37">
      <c r="A228" s="939"/>
      <c r="B228" s="1307" t="s">
        <v>1939</v>
      </c>
      <c r="C228" s="1029"/>
      <c r="D228" s="1294"/>
      <c r="E228" s="1294"/>
      <c r="F228" s="1294"/>
      <c r="G228" s="1294"/>
      <c r="H228" s="1294"/>
      <c r="I228" s="1294"/>
      <c r="J228" s="1294"/>
      <c r="K228" s="850"/>
      <c r="L228" s="850"/>
      <c r="M228" s="850"/>
      <c r="N228" s="850"/>
      <c r="O228" s="850"/>
      <c r="P228" s="850"/>
      <c r="Q228" s="850"/>
      <c r="R228" s="850"/>
      <c r="S228" s="850"/>
      <c r="T228" s="850"/>
      <c r="U228" s="850"/>
      <c r="V228" s="850"/>
      <c r="W228" s="850"/>
      <c r="X228" s="850"/>
      <c r="Y228" s="1003"/>
      <c r="Z228" s="1003"/>
      <c r="AA228" s="1003"/>
      <c r="AB228" s="3142">
        <f>IFERROR(AB226/AB227,0)</f>
        <v>0</v>
      </c>
      <c r="AC228" s="3142"/>
      <c r="AD228" s="3142"/>
      <c r="AE228" s="3142"/>
      <c r="AF228" s="3142"/>
      <c r="AG228" s="3142"/>
      <c r="AH228" s="947"/>
      <c r="AI228" s="947"/>
      <c r="AJ228" s="947"/>
      <c r="AK228" s="947"/>
    </row>
    <row r="229" spans="1:37">
      <c r="A229" s="939"/>
      <c r="B229" s="1305"/>
      <c r="C229" s="1029"/>
      <c r="D229" s="1294"/>
      <c r="E229" s="1294"/>
      <c r="F229" s="1294"/>
      <c r="G229" s="1294"/>
      <c r="H229" s="1294"/>
      <c r="I229" s="1294"/>
      <c r="J229" s="1294"/>
      <c r="K229" s="850"/>
      <c r="L229" s="850"/>
      <c r="M229" s="850"/>
      <c r="N229" s="850"/>
      <c r="O229" s="850"/>
      <c r="P229" s="850"/>
      <c r="Q229" s="850"/>
      <c r="R229" s="850"/>
      <c r="S229" s="850"/>
      <c r="T229" s="850"/>
      <c r="U229" s="850"/>
      <c r="V229" s="850"/>
      <c r="W229" s="850"/>
      <c r="X229" s="850"/>
      <c r="Y229" s="1003"/>
      <c r="Z229" s="1003"/>
      <c r="AA229" s="1003"/>
      <c r="AB229" s="1003"/>
      <c r="AC229" s="914"/>
      <c r="AD229" s="914"/>
      <c r="AE229" s="947"/>
      <c r="AF229" s="947"/>
      <c r="AG229" s="947"/>
      <c r="AH229" s="947"/>
      <c r="AI229" s="947"/>
      <c r="AJ229" s="947"/>
      <c r="AK229" s="947"/>
    </row>
    <row r="230" spans="1:37">
      <c r="A230" s="939"/>
      <c r="B230" s="1308" t="s">
        <v>1940</v>
      </c>
      <c r="C230" s="1029"/>
      <c r="D230" s="1294"/>
      <c r="E230" s="1294"/>
      <c r="F230" s="1294"/>
      <c r="G230" s="1294"/>
      <c r="H230" s="1294"/>
      <c r="I230" s="1294"/>
      <c r="J230" s="1294"/>
      <c r="K230" s="850"/>
      <c r="L230" s="850"/>
      <c r="M230" s="850"/>
      <c r="N230" s="850"/>
      <c r="O230" s="850"/>
      <c r="P230" s="850"/>
      <c r="Q230" s="850"/>
      <c r="R230" s="850"/>
      <c r="S230" s="850"/>
      <c r="T230" s="850"/>
      <c r="U230" s="850"/>
      <c r="V230" s="850"/>
      <c r="W230" s="850"/>
      <c r="X230" s="850"/>
      <c r="Y230" s="1003"/>
      <c r="Z230" s="1003"/>
      <c r="AA230" s="1003"/>
      <c r="AB230" s="3132">
        <f>MAX(AB223,AB228)</f>
        <v>0</v>
      </c>
      <c r="AC230" s="3132"/>
      <c r="AD230" s="3132"/>
      <c r="AE230" s="3132"/>
      <c r="AF230" s="3132"/>
      <c r="AG230" s="3132"/>
      <c r="AH230" s="947"/>
      <c r="AI230" s="947"/>
      <c r="AJ230" s="947"/>
      <c r="AK230" s="947"/>
    </row>
    <row r="231" spans="1:37">
      <c r="A231" s="939"/>
      <c r="B231" s="1308"/>
      <c r="C231" s="1029"/>
      <c r="D231" s="1294"/>
      <c r="E231" s="1294"/>
      <c r="F231" s="1294"/>
      <c r="G231" s="1294"/>
      <c r="H231" s="1294"/>
      <c r="I231" s="1294"/>
      <c r="J231" s="1294"/>
      <c r="K231" s="850"/>
      <c r="L231" s="850"/>
      <c r="M231" s="850"/>
      <c r="N231" s="850"/>
      <c r="O231" s="850"/>
      <c r="P231" s="850"/>
      <c r="Q231" s="850"/>
      <c r="R231" s="850"/>
      <c r="S231" s="850"/>
      <c r="T231" s="850"/>
      <c r="U231" s="850"/>
      <c r="V231" s="850"/>
      <c r="W231" s="850"/>
      <c r="X231" s="850"/>
      <c r="Y231" s="1003"/>
      <c r="Z231" s="1003"/>
      <c r="AA231" s="1003"/>
      <c r="AB231" s="1003"/>
      <c r="AC231" s="850"/>
      <c r="AD231" s="850"/>
      <c r="AE231" s="947"/>
      <c r="AF231" s="947"/>
      <c r="AG231" s="947"/>
      <c r="AH231" s="947"/>
      <c r="AI231" s="947"/>
      <c r="AJ231" s="947"/>
      <c r="AK231" s="947"/>
    </row>
    <row r="232" spans="1:37">
      <c r="A232" s="939"/>
      <c r="B232" s="1308"/>
      <c r="C232" s="1029"/>
      <c r="D232" s="1294"/>
      <c r="E232" s="1294"/>
      <c r="F232" s="1294"/>
      <c r="G232" s="1294"/>
      <c r="H232" s="1294"/>
      <c r="I232" s="1294"/>
      <c r="J232" s="1294"/>
      <c r="K232" s="850"/>
      <c r="L232" s="850"/>
      <c r="M232" s="850"/>
      <c r="N232" s="850"/>
      <c r="O232" s="850"/>
      <c r="P232" s="850"/>
      <c r="Q232" s="850"/>
      <c r="R232" s="850"/>
      <c r="S232" s="850"/>
      <c r="T232" s="850"/>
      <c r="U232" s="850"/>
      <c r="V232" s="850"/>
      <c r="W232" s="850"/>
      <c r="X232" s="850"/>
      <c r="Y232" s="1003"/>
      <c r="Z232" s="1003"/>
      <c r="AA232" s="1003"/>
      <c r="AB232" s="1003"/>
      <c r="AC232" s="850"/>
      <c r="AD232" s="850"/>
      <c r="AE232" s="947"/>
      <c r="AF232" s="947"/>
      <c r="AG232" s="947"/>
      <c r="AH232" s="947"/>
      <c r="AI232" s="947"/>
      <c r="AJ232" s="947"/>
      <c r="AK232" s="947"/>
    </row>
    <row r="233" spans="1:37">
      <c r="A233" s="939"/>
      <c r="B233" s="921" t="s">
        <v>1929</v>
      </c>
      <c r="C233" s="1029"/>
      <c r="D233" s="1294"/>
      <c r="E233" s="1294"/>
      <c r="F233" s="1294"/>
      <c r="G233" s="1294"/>
      <c r="H233" s="1294"/>
      <c r="I233" s="1294"/>
      <c r="J233" s="1294"/>
      <c r="K233" s="850"/>
      <c r="L233" s="850"/>
      <c r="M233" s="850"/>
      <c r="N233" s="850"/>
      <c r="O233" s="850"/>
      <c r="P233" s="850"/>
      <c r="Q233" s="850"/>
      <c r="R233" s="850"/>
      <c r="S233" s="850"/>
      <c r="U233" s="1309"/>
      <c r="V233" s="1309"/>
      <c r="W233" s="1309"/>
      <c r="X233" s="1309"/>
      <c r="Y233" s="1309"/>
      <c r="Z233" s="1003"/>
      <c r="AA233" s="1003"/>
      <c r="AB233" s="2948">
        <f>AB217+AB230</f>
        <v>210972</v>
      </c>
      <c r="AC233" s="2948"/>
      <c r="AD233" s="2948"/>
      <c r="AE233" s="2948"/>
      <c r="AF233" s="2948"/>
      <c r="AG233" s="2948"/>
      <c r="AH233" s="947"/>
      <c r="AI233" s="947"/>
      <c r="AJ233" s="947"/>
      <c r="AK233" s="947"/>
    </row>
    <row r="234" spans="1:37">
      <c r="A234" s="939"/>
      <c r="B234" s="921" t="s">
        <v>905</v>
      </c>
      <c r="C234" s="1029"/>
      <c r="D234" s="1294"/>
      <c r="E234" s="1294"/>
      <c r="F234" s="1294"/>
      <c r="G234" s="1294"/>
      <c r="H234" s="1294"/>
      <c r="I234" s="1294"/>
      <c r="J234" s="1294"/>
      <c r="K234" s="850"/>
      <c r="L234" s="850"/>
      <c r="M234" s="850"/>
      <c r="N234" s="850"/>
      <c r="O234" s="850"/>
      <c r="P234" s="850"/>
      <c r="Q234" s="850"/>
      <c r="R234" s="850"/>
      <c r="S234" s="850"/>
      <c r="T234" s="985"/>
      <c r="U234" s="1310"/>
      <c r="V234" s="1310"/>
      <c r="W234" s="1310"/>
      <c r="X234" s="1310"/>
      <c r="Y234" s="1310"/>
      <c r="Z234" s="1003"/>
      <c r="AA234" s="1003"/>
      <c r="AB234" s="2996">
        <v>0.05</v>
      </c>
      <c r="AC234" s="2996"/>
      <c r="AD234" s="2996"/>
      <c r="AE234" s="2996"/>
      <c r="AF234" s="2996"/>
      <c r="AG234" s="2996"/>
      <c r="AH234" s="947"/>
      <c r="AI234" s="947"/>
      <c r="AJ234" s="947"/>
      <c r="AK234" s="947"/>
    </row>
    <row r="235" spans="1:37">
      <c r="A235" s="939"/>
      <c r="B235" s="921" t="s">
        <v>1930</v>
      </c>
      <c r="C235" s="1029"/>
      <c r="D235" s="1294"/>
      <c r="E235" s="1294"/>
      <c r="F235" s="1294"/>
      <c r="G235" s="1294"/>
      <c r="H235" s="1294"/>
      <c r="I235" s="1294"/>
      <c r="J235" s="1294"/>
      <c r="K235" s="850"/>
      <c r="L235" s="850"/>
      <c r="M235" s="850"/>
      <c r="N235" s="850"/>
      <c r="O235" s="850"/>
      <c r="P235" s="850"/>
      <c r="Q235" s="850"/>
      <c r="R235" s="850"/>
      <c r="S235" s="850"/>
      <c r="T235" s="985"/>
      <c r="U235" s="1311"/>
      <c r="V235" s="1311"/>
      <c r="W235" s="1311"/>
      <c r="X235" s="1311"/>
      <c r="Y235" s="1311"/>
      <c r="Z235" s="1003"/>
      <c r="AA235" s="1003"/>
      <c r="AB235" s="2997">
        <f>AB233-(AB233*AB234)</f>
        <v>200423.4</v>
      </c>
      <c r="AC235" s="2997"/>
      <c r="AD235" s="2997"/>
      <c r="AE235" s="2997"/>
      <c r="AF235" s="2997"/>
      <c r="AG235" s="2997"/>
      <c r="AH235" s="947"/>
      <c r="AI235" s="947"/>
      <c r="AJ235" s="947"/>
      <c r="AK235" s="947"/>
    </row>
    <row r="236" spans="1:37">
      <c r="A236" s="939"/>
      <c r="B236" s="921" t="s">
        <v>1931</v>
      </c>
      <c r="C236" s="1029"/>
      <c r="D236" s="1294"/>
      <c r="E236" s="1294"/>
      <c r="F236" s="1294"/>
      <c r="G236" s="1294"/>
      <c r="H236" s="1294"/>
      <c r="I236" s="1294"/>
      <c r="J236" s="1294"/>
      <c r="K236" s="850"/>
      <c r="L236" s="850"/>
      <c r="M236" s="850"/>
      <c r="N236" s="850"/>
      <c r="O236" s="850"/>
      <c r="P236" s="850"/>
      <c r="Q236" s="850"/>
      <c r="R236" s="850"/>
      <c r="S236" s="850"/>
      <c r="T236" s="985"/>
      <c r="U236" s="929"/>
      <c r="V236" s="929"/>
      <c r="W236" s="929"/>
      <c r="X236" s="929"/>
      <c r="Y236" s="1312"/>
      <c r="Z236" s="1003"/>
      <c r="AA236" s="1003"/>
      <c r="AB236" s="850"/>
      <c r="AC236" s="850"/>
      <c r="AD236" s="850"/>
      <c r="AE236" s="947"/>
      <c r="AF236" s="947"/>
      <c r="AG236" s="947"/>
      <c r="AH236" s="947"/>
      <c r="AI236" s="947"/>
      <c r="AJ236" s="947"/>
      <c r="AK236" s="947"/>
    </row>
    <row r="237" spans="1:37">
      <c r="A237" s="939"/>
      <c r="B237" s="921" t="s">
        <v>1932</v>
      </c>
      <c r="C237" s="1029"/>
      <c r="D237" s="1294"/>
      <c r="E237" s="1294"/>
      <c r="F237" s="1294"/>
      <c r="G237" s="1294"/>
      <c r="H237" s="1294"/>
      <c r="I237" s="1294"/>
      <c r="J237" s="1294"/>
      <c r="K237" s="850"/>
      <c r="L237" s="850"/>
      <c r="M237" s="850"/>
      <c r="N237" s="850"/>
      <c r="O237" s="850"/>
      <c r="P237" s="850"/>
      <c r="Q237" s="850"/>
      <c r="R237" s="850"/>
      <c r="S237" s="850"/>
      <c r="T237" s="985"/>
      <c r="U237" s="1311"/>
      <c r="V237" s="1311"/>
      <c r="W237" s="1311"/>
      <c r="X237" s="1311"/>
      <c r="Y237" s="1311"/>
      <c r="Z237" s="1003"/>
      <c r="AA237" s="1003"/>
      <c r="AB237" s="2948">
        <f>AB235/AB241</f>
        <v>174281.21739130435</v>
      </c>
      <c r="AC237" s="2948"/>
      <c r="AD237" s="2948"/>
      <c r="AE237" s="2948"/>
      <c r="AF237" s="2948"/>
      <c r="AG237" s="2948"/>
      <c r="AH237" s="947"/>
      <c r="AI237" s="947"/>
      <c r="AJ237" s="947"/>
      <c r="AK237" s="947"/>
    </row>
    <row r="238" spans="1:37">
      <c r="A238" s="939"/>
      <c r="B238" s="921"/>
      <c r="C238" s="1029"/>
      <c r="D238" s="1294"/>
      <c r="E238" s="1294"/>
      <c r="F238" s="1294"/>
      <c r="G238" s="1294"/>
      <c r="H238" s="1294"/>
      <c r="I238" s="1294"/>
      <c r="J238" s="1294"/>
      <c r="K238" s="850"/>
      <c r="L238" s="850"/>
      <c r="M238" s="850"/>
      <c r="N238" s="850"/>
      <c r="O238" s="850"/>
      <c r="P238" s="850"/>
      <c r="Q238" s="850"/>
      <c r="R238" s="850"/>
      <c r="S238" s="850"/>
      <c r="T238" s="985"/>
      <c r="U238" s="929"/>
      <c r="V238" s="929"/>
      <c r="W238" s="929"/>
      <c r="X238" s="929"/>
      <c r="Y238" s="1313"/>
      <c r="Z238" s="1003"/>
      <c r="AA238" s="1003"/>
      <c r="AB238" s="850"/>
      <c r="AC238" s="850"/>
      <c r="AD238" s="850"/>
      <c r="AE238" s="947"/>
      <c r="AF238" s="947"/>
      <c r="AG238" s="947"/>
      <c r="AH238" s="947"/>
      <c r="AI238" s="947"/>
      <c r="AJ238" s="947"/>
      <c r="AK238" s="947"/>
    </row>
    <row r="239" spans="1:37">
      <c r="A239" s="939"/>
      <c r="B239" s="921" t="s">
        <v>1933</v>
      </c>
      <c r="C239" s="1029"/>
      <c r="D239" s="1294"/>
      <c r="E239" s="1294"/>
      <c r="F239" s="1294"/>
      <c r="G239" s="1294"/>
      <c r="H239" s="1294"/>
      <c r="I239" s="1294"/>
      <c r="J239" s="1294"/>
      <c r="K239" s="850"/>
      <c r="L239" s="850"/>
      <c r="M239" s="850"/>
      <c r="N239" s="850"/>
      <c r="O239" s="850"/>
      <c r="P239" s="850"/>
      <c r="Q239" s="850"/>
      <c r="R239" s="850"/>
      <c r="S239" s="850"/>
      <c r="T239" s="985"/>
      <c r="U239" s="1314"/>
      <c r="V239" s="1314"/>
      <c r="W239" s="1314"/>
      <c r="X239" s="1314"/>
      <c r="Y239" s="1314"/>
      <c r="Z239" s="1003"/>
      <c r="AA239" s="1003"/>
      <c r="AB239" s="2949">
        <v>15</v>
      </c>
      <c r="AC239" s="2949"/>
      <c r="AD239" s="2949"/>
      <c r="AE239" s="2949"/>
      <c r="AF239" s="2949"/>
      <c r="AG239" s="2949"/>
      <c r="AH239" s="947"/>
      <c r="AI239" s="947"/>
      <c r="AJ239" s="947"/>
      <c r="AK239" s="947"/>
    </row>
    <row r="240" spans="1:37">
      <c r="A240" s="939"/>
      <c r="B240" s="921" t="s">
        <v>1934</v>
      </c>
      <c r="C240" s="1029"/>
      <c r="D240" s="1294"/>
      <c r="E240" s="1294"/>
      <c r="F240" s="1294"/>
      <c r="G240" s="1294"/>
      <c r="H240" s="1294"/>
      <c r="I240" s="1294"/>
      <c r="J240" s="1294"/>
      <c r="K240" s="850"/>
      <c r="L240" s="850"/>
      <c r="M240" s="850"/>
      <c r="N240" s="850"/>
      <c r="O240" s="850"/>
      <c r="P240" s="850"/>
      <c r="Q240" s="850"/>
      <c r="R240" s="850"/>
      <c r="S240" s="850"/>
      <c r="T240" s="985"/>
      <c r="U240" s="1310"/>
      <c r="V240" s="1310"/>
      <c r="W240" s="1310"/>
      <c r="X240" s="1310"/>
      <c r="Y240" s="1310"/>
      <c r="Z240" s="1003"/>
      <c r="AA240" s="1003"/>
      <c r="AB240" s="2961">
        <v>0.04</v>
      </c>
      <c r="AC240" s="2961"/>
      <c r="AD240" s="2961"/>
      <c r="AE240" s="2961"/>
      <c r="AF240" s="2961"/>
      <c r="AG240" s="2961"/>
      <c r="AH240" s="947"/>
      <c r="AI240" s="947"/>
      <c r="AJ240" s="947"/>
      <c r="AK240" s="947"/>
    </row>
    <row r="241" spans="1:39">
      <c r="A241" s="939"/>
      <c r="B241" s="921" t="s">
        <v>917</v>
      </c>
      <c r="C241" s="1029"/>
      <c r="D241" s="1294"/>
      <c r="E241" s="1294"/>
      <c r="F241" s="1294"/>
      <c r="G241" s="1294"/>
      <c r="H241" s="1294"/>
      <c r="I241" s="1294"/>
      <c r="J241" s="1294"/>
      <c r="K241" s="850"/>
      <c r="L241" s="850"/>
      <c r="M241" s="850"/>
      <c r="N241" s="850"/>
      <c r="O241" s="850"/>
      <c r="P241" s="850"/>
      <c r="Q241" s="850"/>
      <c r="R241" s="850"/>
      <c r="S241" s="850"/>
      <c r="T241" s="985"/>
      <c r="U241" s="1315"/>
      <c r="V241" s="1315"/>
      <c r="W241" s="1315"/>
      <c r="X241" s="1315"/>
      <c r="Y241" s="1315"/>
      <c r="Z241" s="1003"/>
      <c r="AA241" s="1003"/>
      <c r="AB241" s="2962">
        <v>1.1499999999999999</v>
      </c>
      <c r="AC241" s="2962"/>
      <c r="AD241" s="2962"/>
      <c r="AE241" s="2962"/>
      <c r="AF241" s="2962"/>
      <c r="AG241" s="2962"/>
      <c r="AH241" s="947"/>
      <c r="AI241" s="947"/>
      <c r="AJ241" s="947"/>
      <c r="AK241" s="947"/>
    </row>
    <row r="242" spans="1:39">
      <c r="A242" s="939"/>
      <c r="B242" s="917"/>
      <c r="C242" s="1029"/>
      <c r="D242" s="1294"/>
      <c r="E242" s="1294"/>
      <c r="F242" s="1294"/>
      <c r="G242" s="1294"/>
      <c r="H242" s="1294"/>
      <c r="I242" s="1294"/>
      <c r="J242" s="1294"/>
      <c r="K242" s="850"/>
      <c r="L242" s="850"/>
      <c r="M242" s="850"/>
      <c r="N242" s="850"/>
      <c r="O242" s="850"/>
      <c r="P242" s="850"/>
      <c r="Q242" s="850"/>
      <c r="R242" s="850"/>
      <c r="S242" s="850"/>
      <c r="T242" s="985"/>
      <c r="U242" s="929"/>
      <c r="V242" s="929"/>
      <c r="W242" s="929"/>
      <c r="X242" s="929"/>
      <c r="Y242" s="1316"/>
      <c r="Z242" s="1003"/>
      <c r="AA242" s="1003"/>
      <c r="AB242" s="850"/>
      <c r="AC242" s="850"/>
      <c r="AD242" s="850"/>
      <c r="AE242" s="947"/>
      <c r="AF242" s="947"/>
      <c r="AG242" s="947"/>
      <c r="AH242" s="947"/>
      <c r="AI242" s="947"/>
      <c r="AJ242" s="947"/>
      <c r="AK242" s="947"/>
    </row>
    <row r="243" spans="1:39">
      <c r="A243" s="939"/>
      <c r="B243" s="1331" t="s">
        <v>1935</v>
      </c>
      <c r="C243" s="1029"/>
      <c r="D243" s="1294"/>
      <c r="E243" s="1294"/>
      <c r="F243" s="1294"/>
      <c r="G243" s="1294"/>
      <c r="H243" s="1294"/>
      <c r="I243" s="1294"/>
      <c r="J243" s="1294"/>
      <c r="K243" s="850"/>
      <c r="L243" s="850"/>
      <c r="M243" s="850"/>
      <c r="N243" s="850"/>
      <c r="O243" s="850"/>
      <c r="P243" s="850"/>
      <c r="Q243" s="850"/>
      <c r="R243" s="850"/>
      <c r="S243" s="850"/>
      <c r="T243" s="985"/>
      <c r="U243" s="1317"/>
      <c r="V243" s="1317"/>
      <c r="W243" s="1317"/>
      <c r="X243" s="1317"/>
      <c r="Y243" s="1317"/>
      <c r="Z243" s="1003"/>
      <c r="AA243" s="1003"/>
      <c r="AB243" s="2989">
        <f>PV(AB240/12,AB239*12,-AB237/12, ,0)</f>
        <v>1963454.354165135</v>
      </c>
      <c r="AC243" s="2990"/>
      <c r="AD243" s="2990"/>
      <c r="AE243" s="2990"/>
      <c r="AF243" s="2990"/>
      <c r="AG243" s="2991"/>
      <c r="AH243" s="947"/>
      <c r="AI243" s="947"/>
      <c r="AJ243" s="947"/>
      <c r="AK243" s="947"/>
    </row>
    <row r="244" spans="1:39">
      <c r="A244" s="939"/>
      <c r="B244" s="1331"/>
      <c r="C244" s="1029"/>
      <c r="D244" s="1294"/>
      <c r="E244" s="1294"/>
      <c r="F244" s="1294"/>
      <c r="G244" s="1294"/>
      <c r="H244" s="1294"/>
      <c r="I244" s="1294"/>
      <c r="J244" s="1294"/>
      <c r="K244" s="850"/>
      <c r="L244" s="850"/>
      <c r="M244" s="850"/>
      <c r="N244" s="850"/>
      <c r="O244" s="850"/>
      <c r="P244" s="850"/>
      <c r="Q244" s="850"/>
      <c r="R244" s="850"/>
      <c r="S244" s="850"/>
      <c r="T244" s="985"/>
      <c r="U244" s="1317"/>
      <c r="V244" s="1317"/>
      <c r="W244" s="1317"/>
      <c r="X244" s="1317"/>
      <c r="Y244" s="1317"/>
      <c r="Z244" s="1003"/>
      <c r="AA244" s="1003"/>
      <c r="AB244" s="1332"/>
      <c r="AC244" s="1332"/>
      <c r="AD244" s="1332"/>
      <c r="AE244" s="1332"/>
      <c r="AF244" s="1332"/>
      <c r="AG244" s="1332"/>
      <c r="AH244" s="947"/>
      <c r="AI244" s="947"/>
      <c r="AJ244" s="947"/>
      <c r="AK244" s="947"/>
    </row>
    <row r="245" spans="1:39">
      <c r="A245" s="939"/>
      <c r="B245" s="1331"/>
      <c r="C245" s="1029"/>
      <c r="D245" s="1294"/>
      <c r="E245" s="1294"/>
      <c r="F245" s="1294"/>
      <c r="G245" s="1294"/>
      <c r="H245" s="1294"/>
      <c r="I245" s="1294"/>
      <c r="J245" s="1294"/>
      <c r="K245" s="850"/>
      <c r="L245" s="850"/>
      <c r="M245" s="850"/>
      <c r="N245" s="850"/>
      <c r="O245" s="850"/>
      <c r="P245" s="850"/>
      <c r="Q245" s="850"/>
      <c r="R245" s="850"/>
      <c r="S245" s="850"/>
      <c r="T245" s="985"/>
      <c r="U245" s="1317"/>
      <c r="V245" s="1317"/>
      <c r="W245" s="1317"/>
      <c r="X245" s="1317"/>
      <c r="Y245" s="1317"/>
      <c r="Z245" s="1003"/>
      <c r="AA245" s="1003"/>
      <c r="AB245" s="1332"/>
      <c r="AC245" s="1332"/>
      <c r="AD245" s="1332"/>
      <c r="AE245" s="1332"/>
      <c r="AF245" s="1332"/>
      <c r="AG245" s="1332"/>
      <c r="AH245" s="947"/>
      <c r="AI245" s="947"/>
      <c r="AJ245" s="947"/>
      <c r="AK245" s="947"/>
    </row>
    <row r="246" spans="1:39">
      <c r="A246" s="939"/>
      <c r="B246" s="1321" t="s">
        <v>1911</v>
      </c>
      <c r="C246" s="1321"/>
      <c r="D246" s="1294"/>
      <c r="E246" s="1294"/>
      <c r="F246" s="1294"/>
      <c r="G246" s="1294"/>
      <c r="H246" s="1294"/>
      <c r="I246" s="1294"/>
      <c r="J246" s="1294"/>
      <c r="K246" s="850"/>
      <c r="L246" s="850"/>
      <c r="M246" s="850"/>
      <c r="N246" s="850"/>
      <c r="O246" s="850"/>
      <c r="P246" s="850"/>
      <c r="Q246" s="850"/>
      <c r="R246" s="850"/>
      <c r="S246" s="850"/>
      <c r="T246" s="850"/>
      <c r="U246" s="850"/>
      <c r="V246" s="850"/>
      <c r="W246" s="850"/>
      <c r="X246" s="850"/>
      <c r="Y246" s="1003"/>
      <c r="Z246" s="1003"/>
      <c r="AA246" s="1003"/>
      <c r="AB246" s="1003"/>
      <c r="AC246" s="850"/>
      <c r="AD246" s="850"/>
      <c r="AE246" s="947"/>
      <c r="AF246" s="947"/>
      <c r="AG246" s="947"/>
      <c r="AH246" s="947"/>
      <c r="AI246" s="947"/>
      <c r="AJ246" s="947"/>
      <c r="AK246" s="947"/>
    </row>
    <row r="247" spans="1:39">
      <c r="A247" s="939"/>
      <c r="B247" s="939" t="s">
        <v>1914</v>
      </c>
      <c r="C247" s="1029"/>
      <c r="D247" s="1294"/>
      <c r="E247" s="1294"/>
      <c r="F247" s="1294"/>
      <c r="G247" s="1294"/>
      <c r="H247" s="1294"/>
      <c r="I247" s="1294"/>
      <c r="J247" s="1294"/>
      <c r="K247" s="850"/>
      <c r="L247" s="850"/>
      <c r="M247" s="850"/>
      <c r="N247" s="850"/>
      <c r="O247" s="850"/>
      <c r="P247" s="850"/>
      <c r="Q247" s="850"/>
      <c r="R247" s="850"/>
      <c r="S247" s="850"/>
      <c r="T247" s="850"/>
      <c r="U247" s="850"/>
      <c r="V247" s="850"/>
      <c r="W247" s="850"/>
      <c r="X247" s="850"/>
      <c r="Y247" s="1003"/>
      <c r="Z247" s="1003"/>
      <c r="AA247" s="1003"/>
      <c r="AB247" s="1003"/>
      <c r="AC247" s="850"/>
      <c r="AD247" s="850"/>
      <c r="AE247" s="947"/>
      <c r="AF247" s="947"/>
      <c r="AG247" s="947"/>
      <c r="AH247" s="947"/>
      <c r="AI247" s="947"/>
      <c r="AJ247" s="947"/>
      <c r="AK247" s="947"/>
    </row>
    <row r="248" spans="1:39">
      <c r="A248" s="939"/>
      <c r="B248" s="939" t="s">
        <v>1913</v>
      </c>
      <c r="C248" s="1029"/>
      <c r="D248" s="1294"/>
      <c r="E248" s="1294"/>
      <c r="F248" s="1294"/>
      <c r="G248" s="1294"/>
      <c r="H248" s="1294"/>
      <c r="I248" s="1294"/>
      <c r="J248" s="1294"/>
      <c r="K248" s="850"/>
      <c r="L248" s="850"/>
      <c r="M248" s="850"/>
      <c r="N248" s="850"/>
      <c r="O248" s="850"/>
      <c r="P248" s="850"/>
      <c r="Q248" s="850"/>
      <c r="R248" s="850"/>
      <c r="S248" s="850"/>
      <c r="T248" s="850"/>
      <c r="U248" s="850"/>
      <c r="V248" s="850"/>
      <c r="W248" s="850"/>
      <c r="X248" s="850"/>
      <c r="Y248" s="1003"/>
      <c r="Z248" s="1003"/>
      <c r="AA248" s="1003"/>
      <c r="AB248" s="1003"/>
      <c r="AC248" s="850"/>
      <c r="AD248" s="850"/>
      <c r="AE248" s="947"/>
      <c r="AF248" s="947"/>
      <c r="AG248" s="947"/>
      <c r="AH248" s="947"/>
      <c r="AI248" s="947"/>
      <c r="AJ248" s="947"/>
      <c r="AK248" s="947"/>
    </row>
    <row r="249" spans="1:39">
      <c r="A249" s="939"/>
      <c r="B249" s="939" t="s">
        <v>1912</v>
      </c>
      <c r="C249" s="1029"/>
      <c r="D249" s="1294"/>
      <c r="E249" s="1294"/>
      <c r="F249" s="1294"/>
      <c r="G249" s="1294"/>
      <c r="H249" s="1294"/>
      <c r="I249" s="1294"/>
      <c r="J249" s="1294"/>
      <c r="K249" s="850"/>
      <c r="L249" s="850"/>
      <c r="M249" s="850"/>
      <c r="N249" s="850"/>
      <c r="O249" s="850"/>
      <c r="P249" s="850"/>
      <c r="Q249" s="850"/>
      <c r="R249" s="850"/>
      <c r="S249" s="850"/>
      <c r="T249" s="850"/>
      <c r="U249" s="850"/>
      <c r="V249" s="850"/>
      <c r="W249" s="850"/>
      <c r="X249" s="850"/>
      <c r="Y249" s="1003"/>
      <c r="Z249" s="1003"/>
      <c r="AA249" s="1003"/>
      <c r="AB249" s="2993">
        <f ca="1">IFERROR(('Sources and Uses Budget'!D105/'Sources and Uses Budget'!B105),0)</f>
        <v>0</v>
      </c>
      <c r="AC249" s="2994"/>
      <c r="AD249" s="2994"/>
      <c r="AE249" s="2994"/>
      <c r="AF249" s="2994"/>
      <c r="AG249" s="2995"/>
      <c r="AH249" s="1334"/>
      <c r="AI249" s="1334"/>
      <c r="AJ249" s="1334"/>
      <c r="AK249" s="947"/>
    </row>
    <row r="250" spans="1:39">
      <c r="A250" s="939"/>
      <c r="B250" s="921"/>
      <c r="C250" s="1029"/>
      <c r="D250" s="1294"/>
      <c r="E250" s="1294"/>
      <c r="F250" s="1294"/>
      <c r="G250" s="1294"/>
      <c r="H250" s="1294"/>
      <c r="I250" s="1294"/>
      <c r="J250" s="1294"/>
      <c r="K250" s="850"/>
      <c r="L250" s="850"/>
      <c r="M250" s="850"/>
      <c r="N250" s="850"/>
      <c r="O250" s="850"/>
      <c r="P250" s="850"/>
      <c r="Q250" s="850"/>
      <c r="R250" s="850"/>
      <c r="S250" s="850"/>
      <c r="T250" s="850"/>
      <c r="U250" s="850"/>
      <c r="V250" s="850"/>
      <c r="W250" s="850"/>
      <c r="X250" s="850"/>
      <c r="Y250" s="1003"/>
      <c r="Z250" s="1003"/>
      <c r="AA250" s="1003"/>
      <c r="AB250" s="1003"/>
      <c r="AC250" s="850"/>
      <c r="AD250" s="850"/>
      <c r="AE250" s="947"/>
      <c r="AF250" s="947"/>
      <c r="AG250" s="947"/>
      <c r="AH250" s="947"/>
      <c r="AI250" s="947"/>
      <c r="AJ250" s="947"/>
      <c r="AK250" s="947"/>
    </row>
    <row r="251" spans="1:39">
      <c r="A251" s="968"/>
      <c r="B251" s="847" t="s">
        <v>1659</v>
      </c>
      <c r="C251" s="969"/>
      <c r="D251" s="969"/>
      <c r="E251" s="970"/>
      <c r="F251" s="970"/>
      <c r="H251" s="971"/>
      <c r="I251" s="971"/>
      <c r="J251" s="971"/>
      <c r="K251" s="971"/>
      <c r="L251" s="971"/>
      <c r="M251" s="971"/>
      <c r="N251" s="971"/>
      <c r="O251" s="971"/>
      <c r="P251" s="971"/>
      <c r="Q251" s="971"/>
      <c r="R251" s="971"/>
      <c r="Y251" s="971"/>
      <c r="Z251" s="971"/>
      <c r="AA251" s="971"/>
      <c r="AB251" s="968"/>
      <c r="AC251" s="968"/>
      <c r="AD251" s="968"/>
      <c r="AE251" s="968"/>
      <c r="AG251" s="2983">
        <f ca="1">AD194*(1-AB249)</f>
        <v>12405581.354165135</v>
      </c>
      <c r="AH251" s="2983"/>
      <c r="AI251" s="2983"/>
      <c r="AJ251" s="2983"/>
      <c r="AK251" s="2983"/>
    </row>
    <row r="252" spans="1:39">
      <c r="A252" s="968"/>
      <c r="B252" s="972" t="s">
        <v>1660</v>
      </c>
      <c r="C252" s="973"/>
      <c r="D252" s="971"/>
      <c r="E252" s="971"/>
      <c r="F252" s="973"/>
      <c r="G252" s="973"/>
      <c r="H252" s="973"/>
      <c r="I252" s="973"/>
      <c r="J252" s="973"/>
      <c r="K252" s="973"/>
      <c r="L252" s="973"/>
      <c r="M252" s="971"/>
      <c r="N252" s="973"/>
      <c r="O252" s="973"/>
      <c r="P252" s="973"/>
      <c r="Q252" s="973"/>
      <c r="R252" s="973"/>
      <c r="Y252" s="971"/>
      <c r="Z252" s="971"/>
      <c r="AA252" s="971"/>
      <c r="AB252" s="968"/>
      <c r="AC252" s="968"/>
      <c r="AD252" s="968"/>
      <c r="AE252" s="968"/>
      <c r="AG252" s="2983">
        <f ca="1">'Sources and Uses Budget'!C105</f>
        <v>45364634.187312514</v>
      </c>
      <c r="AH252" s="2983"/>
      <c r="AI252" s="2983"/>
      <c r="AJ252" s="2983"/>
      <c r="AK252" s="2983"/>
    </row>
    <row r="253" spans="1:39">
      <c r="A253" s="968"/>
      <c r="B253" s="971" t="s">
        <v>13</v>
      </c>
      <c r="C253" s="971"/>
      <c r="D253" s="971"/>
      <c r="E253" s="971"/>
      <c r="F253" s="971"/>
      <c r="G253" s="971"/>
      <c r="H253" s="971"/>
      <c r="I253" s="971"/>
      <c r="J253" s="971"/>
      <c r="K253" s="971"/>
      <c r="L253" s="971"/>
      <c r="M253" s="971"/>
      <c r="N253" s="971"/>
      <c r="O253" s="971"/>
      <c r="P253" s="971"/>
      <c r="Q253" s="971"/>
      <c r="R253" s="971"/>
      <c r="Y253" s="971"/>
      <c r="Z253" s="971"/>
      <c r="AA253" s="971"/>
      <c r="AB253" s="968"/>
      <c r="AC253" s="968"/>
      <c r="AD253" s="968"/>
      <c r="AE253" s="968"/>
      <c r="AG253" s="2984">
        <f ca="1">ROUNDDOWN(IF(AND(C274="Yes",AK72=10),((AG251*2)/AG252),AG251/AG252),2)</f>
        <v>0.27</v>
      </c>
      <c r="AH253" s="2984"/>
      <c r="AI253" s="2984"/>
      <c r="AJ253" s="2984"/>
      <c r="AK253" s="2984"/>
    </row>
    <row r="254" spans="1:39">
      <c r="A254" s="968"/>
      <c r="B254" s="1623" t="s">
        <v>2259</v>
      </c>
      <c r="C254" s="971"/>
      <c r="D254" s="971"/>
      <c r="E254" s="971"/>
      <c r="F254" s="971"/>
      <c r="G254" s="971"/>
      <c r="H254" s="971"/>
      <c r="I254" s="971"/>
      <c r="J254" s="971"/>
      <c r="K254" s="971"/>
      <c r="L254" s="971"/>
      <c r="M254" s="971"/>
      <c r="N254" s="971"/>
      <c r="O254" s="971"/>
      <c r="P254" s="971"/>
      <c r="Q254" s="971"/>
      <c r="R254" s="971"/>
      <c r="Y254" s="971"/>
      <c r="Z254" s="971"/>
      <c r="AA254" s="971"/>
      <c r="AB254" s="968"/>
      <c r="AC254" s="968"/>
      <c r="AD254" s="968"/>
      <c r="AE254" s="968"/>
      <c r="AG254" s="1622"/>
      <c r="AH254" s="1622"/>
      <c r="AI254" s="1622"/>
      <c r="AJ254" s="1622"/>
      <c r="AK254" s="1622"/>
    </row>
    <row r="255" spans="1:39">
      <c r="A255" s="974"/>
      <c r="B255" s="974"/>
      <c r="C255" s="974"/>
      <c r="D255" s="974"/>
      <c r="E255" s="974"/>
      <c r="F255" s="974"/>
      <c r="G255" s="974"/>
      <c r="H255" s="974"/>
      <c r="I255" s="974"/>
      <c r="J255" s="974"/>
      <c r="K255" s="974"/>
      <c r="L255" s="974"/>
      <c r="M255" s="974"/>
      <c r="N255" s="974"/>
      <c r="O255" s="974"/>
      <c r="P255" s="974"/>
      <c r="Q255" s="974"/>
      <c r="R255" s="974"/>
      <c r="S255" s="974"/>
      <c r="T255" s="974"/>
      <c r="U255" s="974"/>
      <c r="V255" s="974"/>
      <c r="W255" s="974"/>
      <c r="X255" s="974"/>
      <c r="Y255" s="974"/>
      <c r="Z255" s="974"/>
      <c r="AA255" s="974"/>
      <c r="AB255" s="974"/>
      <c r="AC255" s="974"/>
      <c r="AD255" s="974"/>
      <c r="AE255" s="974"/>
      <c r="AF255" s="974"/>
      <c r="AG255" s="974"/>
      <c r="AH255" s="974"/>
      <c r="AI255" s="974"/>
      <c r="AJ255" s="974"/>
    </row>
    <row r="256" spans="1:39">
      <c r="A256" s="975"/>
      <c r="B256" s="975"/>
      <c r="C256" s="975"/>
      <c r="D256" s="975"/>
      <c r="E256" s="975"/>
      <c r="F256" s="975"/>
      <c r="G256" s="975"/>
      <c r="H256" s="975"/>
      <c r="I256" s="975"/>
      <c r="J256" s="975"/>
      <c r="K256" s="975"/>
      <c r="L256" s="975"/>
      <c r="M256" s="975"/>
      <c r="N256" s="975"/>
      <c r="O256" s="975"/>
      <c r="P256" s="975"/>
      <c r="Q256" s="975"/>
      <c r="R256" s="975"/>
      <c r="S256" s="975"/>
      <c r="T256" s="975"/>
      <c r="U256" s="975"/>
      <c r="V256" s="975"/>
      <c r="W256" s="975"/>
      <c r="X256" s="975"/>
      <c r="Y256" s="975"/>
      <c r="Z256" s="975"/>
      <c r="AA256" s="975"/>
      <c r="AB256" s="975"/>
      <c r="AC256" s="975"/>
      <c r="AD256" s="975"/>
      <c r="AE256" s="975"/>
      <c r="AF256" s="975"/>
      <c r="AG256" s="975"/>
      <c r="AH256" s="976"/>
      <c r="AI256" s="882"/>
      <c r="AJ256" s="882" t="s">
        <v>1661</v>
      </c>
      <c r="AK256" s="2985">
        <f ca="1">IF(AG253=0,0,IF((AG253*100)&gt;8,8,(AG253*100)))</f>
        <v>8</v>
      </c>
      <c r="AL256" s="2985"/>
      <c r="AM256" s="2986"/>
    </row>
    <row r="257" spans="1:81" ht="13.5" thickBot="1"/>
    <row r="258" spans="1:81" s="866" customFormat="1" ht="12.75" customHeight="1" thickTop="1">
      <c r="A258" s="977"/>
      <c r="B258" s="978"/>
      <c r="C258" s="978"/>
      <c r="D258" s="978"/>
      <c r="E258" s="978"/>
      <c r="F258" s="978"/>
      <c r="G258" s="978"/>
      <c r="H258" s="978"/>
      <c r="I258" s="978"/>
      <c r="J258" s="978"/>
      <c r="K258" s="978"/>
      <c r="L258" s="978"/>
      <c r="M258" s="978"/>
      <c r="N258" s="978"/>
      <c r="O258" s="978"/>
      <c r="P258" s="978"/>
      <c r="Q258" s="978"/>
      <c r="R258" s="978"/>
      <c r="S258" s="978"/>
      <c r="T258" s="978"/>
      <c r="U258" s="978"/>
      <c r="V258" s="978"/>
      <c r="W258" s="978"/>
      <c r="X258" s="978"/>
      <c r="Y258" s="978"/>
      <c r="Z258" s="978"/>
      <c r="AA258" s="978"/>
      <c r="AB258" s="978"/>
      <c r="AC258" s="979"/>
      <c r="AD258" s="978"/>
      <c r="AE258" s="978"/>
      <c r="AF258" s="978"/>
      <c r="AG258" s="978"/>
      <c r="AH258" s="952"/>
      <c r="AI258" s="980"/>
      <c r="AJ258" s="980"/>
      <c r="AK258" s="981"/>
      <c r="AL258" s="981"/>
      <c r="AM258" s="982"/>
      <c r="AN258" s="923"/>
      <c r="AO258" s="949"/>
      <c r="AP258" s="929"/>
      <c r="AQ258" s="929"/>
      <c r="AR258" s="929"/>
      <c r="AS258" s="929"/>
      <c r="AT258" s="929"/>
      <c r="AU258" s="929"/>
      <c r="AV258" s="929"/>
      <c r="AW258" s="929"/>
      <c r="AX258" s="929"/>
      <c r="AY258" s="929"/>
      <c r="AZ258" s="929"/>
      <c r="BA258" s="949"/>
      <c r="BB258" s="949"/>
      <c r="BC258" s="949"/>
      <c r="BD258" s="949"/>
      <c r="BE258" s="949"/>
      <c r="BF258" s="949"/>
      <c r="BG258" s="949"/>
      <c r="BH258" s="949"/>
      <c r="BI258" s="949"/>
      <c r="BJ258" s="949"/>
      <c r="BK258" s="949"/>
      <c r="BL258" s="949"/>
      <c r="BM258" s="949"/>
      <c r="BN258" s="949"/>
      <c r="BO258" s="949"/>
      <c r="BP258" s="949"/>
      <c r="BQ258" s="949"/>
      <c r="BR258" s="949"/>
      <c r="BS258" s="949"/>
      <c r="BT258" s="949"/>
      <c r="BU258" s="949"/>
      <c r="BV258" s="949"/>
      <c r="BW258" s="949"/>
      <c r="BX258" s="949"/>
      <c r="BY258" s="949"/>
      <c r="BZ258" s="949"/>
      <c r="CA258" s="949"/>
      <c r="CB258" s="949"/>
      <c r="CC258" s="949"/>
    </row>
    <row r="259" spans="1:81">
      <c r="A259" s="911" t="s">
        <v>1662</v>
      </c>
      <c r="B259" s="911" t="s">
        <v>1663</v>
      </c>
      <c r="C259" s="935"/>
      <c r="D259" s="866"/>
      <c r="E259" s="983"/>
      <c r="F259" s="949"/>
      <c r="G259" s="949"/>
      <c r="H259" s="949"/>
      <c r="I259" s="949"/>
      <c r="J259" s="949"/>
      <c r="K259" s="949"/>
      <c r="L259" s="949"/>
      <c r="M259" s="949"/>
      <c r="N259" s="949"/>
      <c r="O259" s="949"/>
      <c r="P259" s="949"/>
      <c r="Q259" s="949"/>
      <c r="R259" s="949"/>
      <c r="S259" s="949"/>
      <c r="T259" s="949"/>
      <c r="U259" s="949"/>
      <c r="V259" s="949"/>
      <c r="W259" s="949"/>
      <c r="X259" s="949"/>
      <c r="Y259" s="949"/>
      <c r="Z259" s="949"/>
      <c r="AA259" s="949"/>
      <c r="AB259" s="949"/>
      <c r="AC259" s="949"/>
      <c r="AD259" s="949"/>
      <c r="AE259" s="949"/>
      <c r="AF259" s="949"/>
      <c r="AG259" s="949"/>
      <c r="AH259" s="957" t="s">
        <v>1600</v>
      </c>
      <c r="AI259" s="949"/>
      <c r="AJ259" s="866"/>
      <c r="AK259" s="949"/>
      <c r="AL259" s="949"/>
      <c r="AM259" s="949"/>
      <c r="AN259" s="984"/>
      <c r="AO259" s="949"/>
      <c r="AP259" s="985"/>
      <c r="AQ259" s="985"/>
      <c r="AR259" s="986"/>
      <c r="AS259" s="986"/>
      <c r="AT259" s="986"/>
      <c r="AU259" s="985"/>
      <c r="AV259" s="985"/>
      <c r="AW259" s="985"/>
      <c r="AX259" s="985"/>
      <c r="AY259" s="985"/>
      <c r="AZ259" s="985"/>
      <c r="BA259" s="985"/>
      <c r="BB259" s="985"/>
      <c r="BC259" s="985"/>
      <c r="BD259" s="987"/>
      <c r="BE259" s="987"/>
      <c r="BF259" s="987"/>
      <c r="BG259" s="987"/>
      <c r="BH259" s="987"/>
      <c r="BI259" s="985"/>
      <c r="BJ259" s="985"/>
      <c r="BK259" s="985"/>
      <c r="BL259" s="985"/>
      <c r="BM259" s="985"/>
      <c r="BN259" s="985"/>
      <c r="BO259" s="985"/>
      <c r="BP259" s="985"/>
      <c r="BQ259" s="985"/>
      <c r="BR259" s="985"/>
      <c r="BS259" s="985"/>
      <c r="BT259" s="985"/>
      <c r="BU259" s="985"/>
      <c r="BV259" s="985"/>
      <c r="BW259" s="985"/>
      <c r="BX259" s="985"/>
      <c r="BY259" s="985"/>
      <c r="BZ259" s="985"/>
      <c r="CA259" s="985"/>
      <c r="CB259" s="985"/>
      <c r="CC259" s="985"/>
    </row>
    <row r="260" spans="1:81" ht="14.25" customHeight="1">
      <c r="A260" s="957"/>
      <c r="AI260" s="867"/>
      <c r="AJ260" s="866"/>
      <c r="AK260" s="949"/>
      <c r="AL260" s="949"/>
      <c r="AM260" s="949"/>
      <c r="AN260" s="984"/>
      <c r="AO260" s="949"/>
      <c r="AP260" s="985"/>
      <c r="AQ260" s="985"/>
      <c r="AR260" s="986"/>
      <c r="AS260" s="986"/>
      <c r="AT260" s="986"/>
      <c r="AU260" s="985"/>
      <c r="AV260" s="985"/>
      <c r="AW260" s="985"/>
      <c r="AX260" s="985"/>
      <c r="AY260" s="985"/>
      <c r="AZ260" s="985"/>
      <c r="BA260" s="985"/>
      <c r="BB260" s="985"/>
      <c r="BC260" s="985"/>
      <c r="BD260" s="987"/>
      <c r="BE260" s="987"/>
      <c r="BF260" s="987"/>
      <c r="BG260" s="987"/>
      <c r="BH260" s="987"/>
      <c r="BI260" s="985"/>
      <c r="BJ260" s="985"/>
      <c r="BK260" s="985"/>
      <c r="BL260" s="985"/>
      <c r="BM260" s="985"/>
      <c r="BN260" s="985"/>
      <c r="BO260" s="985"/>
      <c r="BP260" s="985"/>
      <c r="BQ260" s="985"/>
      <c r="BR260" s="985"/>
      <c r="BS260" s="985"/>
      <c r="BT260" s="985"/>
      <c r="BU260" s="985"/>
      <c r="BV260" s="985"/>
      <c r="BW260" s="985"/>
      <c r="BX260" s="985"/>
      <c r="BY260" s="985"/>
      <c r="BZ260" s="985"/>
      <c r="CA260" s="985"/>
      <c r="CB260" s="985"/>
      <c r="CC260" s="985"/>
    </row>
    <row r="261" spans="1:81" ht="13.9" customHeight="1">
      <c r="A261" s="983"/>
      <c r="B261" s="988"/>
      <c r="C261" s="2972" t="s">
        <v>580</v>
      </c>
      <c r="D261" s="2972"/>
      <c r="E261" s="863"/>
      <c r="F261" s="2973" t="s">
        <v>2003</v>
      </c>
      <c r="G261" s="2974"/>
      <c r="H261" s="2974"/>
      <c r="I261" s="2974"/>
      <c r="J261" s="2974"/>
      <c r="K261" s="2974"/>
      <c r="L261" s="2974"/>
      <c r="M261" s="2974"/>
      <c r="N261" s="2974"/>
      <c r="O261" s="2974"/>
      <c r="P261" s="2974"/>
      <c r="Q261" s="2974"/>
      <c r="R261" s="2974"/>
      <c r="S261" s="2974"/>
      <c r="T261" s="2974"/>
      <c r="U261" s="2974"/>
      <c r="V261" s="2974"/>
      <c r="W261" s="2974"/>
      <c r="X261" s="2974"/>
      <c r="Y261" s="2974"/>
      <c r="Z261" s="2974"/>
      <c r="AA261" s="2974"/>
      <c r="AB261" s="2974"/>
      <c r="AC261" s="2974"/>
      <c r="AD261" s="2975"/>
      <c r="AE261" s="866"/>
      <c r="AF261" s="989"/>
      <c r="AG261" s="2979" t="s">
        <v>1664</v>
      </c>
      <c r="AH261" s="2979"/>
      <c r="AI261" s="2979"/>
      <c r="AJ261" s="2979"/>
      <c r="AK261" s="949"/>
      <c r="AL261" s="949"/>
      <c r="AM261" s="949"/>
      <c r="AN261" s="984"/>
      <c r="AO261" s="866">
        <f>IF($C$261="yes",5,0)</f>
        <v>5</v>
      </c>
      <c r="AS261" s="21"/>
      <c r="AT261" s="21"/>
    </row>
    <row r="262" spans="1:81" ht="13.9" customHeight="1">
      <c r="A262" s="983"/>
      <c r="B262" s="988"/>
      <c r="C262" s="990"/>
      <c r="D262" s="866"/>
      <c r="E262" s="863"/>
      <c r="F262" s="2976"/>
      <c r="G262" s="2977"/>
      <c r="H262" s="2977"/>
      <c r="I262" s="2977"/>
      <c r="J262" s="2977"/>
      <c r="K262" s="2977"/>
      <c r="L262" s="2977"/>
      <c r="M262" s="2977"/>
      <c r="N262" s="2977"/>
      <c r="O262" s="2977"/>
      <c r="P262" s="2977"/>
      <c r="Q262" s="2977"/>
      <c r="R262" s="2977"/>
      <c r="S262" s="2977"/>
      <c r="T262" s="2977"/>
      <c r="U262" s="2977"/>
      <c r="V262" s="2977"/>
      <c r="W262" s="2977"/>
      <c r="X262" s="2977"/>
      <c r="Y262" s="2977"/>
      <c r="Z262" s="2977"/>
      <c r="AA262" s="2977"/>
      <c r="AB262" s="2977"/>
      <c r="AC262" s="2977"/>
      <c r="AD262" s="2978"/>
      <c r="AE262" s="866"/>
      <c r="AF262" s="989"/>
      <c r="AG262" s="989"/>
      <c r="AH262" s="989"/>
      <c r="AI262" s="989"/>
      <c r="AJ262" s="866"/>
      <c r="AK262" s="949"/>
      <c r="AL262" s="949"/>
      <c r="AM262" s="949"/>
      <c r="AN262" s="984"/>
      <c r="AO262" s="866">
        <f>IF($C$264="yes",5,0)</f>
        <v>5</v>
      </c>
      <c r="AS262" s="21"/>
      <c r="AT262" s="21"/>
    </row>
    <row r="263" spans="1:81">
      <c r="A263" s="983"/>
      <c r="B263" s="988"/>
      <c r="C263" s="990"/>
      <c r="D263" s="866"/>
      <c r="E263" s="863"/>
      <c r="F263" s="1557"/>
      <c r="G263" s="1557"/>
      <c r="H263" s="1557"/>
      <c r="I263" s="1557"/>
      <c r="J263" s="1557"/>
      <c r="K263" s="1557"/>
      <c r="L263" s="1557"/>
      <c r="M263" s="1557"/>
      <c r="N263" s="1557"/>
      <c r="O263" s="1557"/>
      <c r="P263" s="1557"/>
      <c r="Q263" s="1557"/>
      <c r="R263" s="1557"/>
      <c r="S263" s="1557"/>
      <c r="T263" s="1557"/>
      <c r="U263" s="1557"/>
      <c r="V263" s="1557"/>
      <c r="W263" s="1557"/>
      <c r="X263" s="1557"/>
      <c r="Y263" s="1557"/>
      <c r="Z263" s="1557"/>
      <c r="AA263" s="1557"/>
      <c r="AB263" s="1557"/>
      <c r="AC263" s="1557"/>
      <c r="AD263" s="1558"/>
      <c r="AE263" s="866"/>
      <c r="AF263" s="989"/>
      <c r="AG263" s="989"/>
      <c r="AH263" s="989"/>
      <c r="AI263" s="989"/>
      <c r="AJ263" s="866"/>
      <c r="AK263" s="949"/>
      <c r="AL263" s="949"/>
      <c r="AM263" s="949"/>
      <c r="AN263" s="984"/>
      <c r="AO263" s="866">
        <f>SUM(AO261:AO262)</f>
        <v>10</v>
      </c>
      <c r="AP263" s="991" t="s">
        <v>1602</v>
      </c>
      <c r="AS263" s="21"/>
      <c r="AT263" s="21"/>
    </row>
    <row r="264" spans="1:81" ht="13.9" customHeight="1">
      <c r="A264" s="983"/>
      <c r="B264" s="988"/>
      <c r="C264" s="2972" t="s">
        <v>580</v>
      </c>
      <c r="D264" s="2972"/>
      <c r="E264" s="863"/>
      <c r="F264" s="2973" t="s">
        <v>2209</v>
      </c>
      <c r="G264" s="2974"/>
      <c r="H264" s="2974"/>
      <c r="I264" s="2974"/>
      <c r="J264" s="2974"/>
      <c r="K264" s="2974"/>
      <c r="L264" s="2974"/>
      <c r="M264" s="2974"/>
      <c r="N264" s="2974"/>
      <c r="O264" s="2974"/>
      <c r="P264" s="2974"/>
      <c r="Q264" s="2974"/>
      <c r="R264" s="2974"/>
      <c r="S264" s="2974"/>
      <c r="T264" s="2974"/>
      <c r="U264" s="2974"/>
      <c r="V264" s="2974"/>
      <c r="W264" s="2974"/>
      <c r="X264" s="2974"/>
      <c r="Y264" s="2974"/>
      <c r="Z264" s="2974"/>
      <c r="AA264" s="2974"/>
      <c r="AB264" s="2974"/>
      <c r="AC264" s="2974"/>
      <c r="AD264" s="2975"/>
      <c r="AE264" s="866"/>
      <c r="AF264" s="989"/>
      <c r="AG264" s="2979" t="s">
        <v>1664</v>
      </c>
      <c r="AH264" s="2979"/>
      <c r="AI264" s="2979"/>
      <c r="AJ264" s="2979"/>
      <c r="AK264" s="949"/>
      <c r="AL264" s="949"/>
      <c r="AM264" s="949"/>
      <c r="AN264" s="984"/>
      <c r="AS264" s="21"/>
      <c r="AT264" s="21"/>
    </row>
    <row r="265" spans="1:81" ht="13.9" customHeight="1">
      <c r="A265" s="983"/>
      <c r="C265" s="992"/>
      <c r="D265" s="992"/>
      <c r="E265" s="992"/>
      <c r="F265" s="2976"/>
      <c r="G265" s="2977"/>
      <c r="H265" s="2977"/>
      <c r="I265" s="2977"/>
      <c r="J265" s="2977"/>
      <c r="K265" s="2977"/>
      <c r="L265" s="2977"/>
      <c r="M265" s="2977"/>
      <c r="N265" s="2977"/>
      <c r="O265" s="2977"/>
      <c r="P265" s="2977"/>
      <c r="Q265" s="2977"/>
      <c r="R265" s="2977"/>
      <c r="S265" s="2977"/>
      <c r="T265" s="2977"/>
      <c r="U265" s="2977"/>
      <c r="V265" s="2977"/>
      <c r="W265" s="2977"/>
      <c r="X265" s="2977"/>
      <c r="Y265" s="2977"/>
      <c r="Z265" s="2977"/>
      <c r="AA265" s="2977"/>
      <c r="AB265" s="2977"/>
      <c r="AC265" s="2977"/>
      <c r="AD265" s="2978"/>
      <c r="AE265" s="992"/>
      <c r="AF265" s="992"/>
      <c r="AG265" s="992"/>
      <c r="AH265" s="992"/>
      <c r="AI265" s="989"/>
      <c r="AJ265" s="866"/>
      <c r="AK265" s="949"/>
      <c r="AL265" s="949"/>
      <c r="AM265" s="949"/>
      <c r="AN265" s="984"/>
      <c r="AQ265" s="21"/>
      <c r="AR265" s="21"/>
      <c r="AS265" s="21"/>
      <c r="AT265" s="21"/>
    </row>
    <row r="266" spans="1:81">
      <c r="A266" s="993"/>
      <c r="B266" s="992"/>
      <c r="C266" s="992"/>
      <c r="D266" s="992"/>
      <c r="E266" s="992"/>
      <c r="F266" s="992"/>
      <c r="G266" s="992"/>
      <c r="H266" s="992"/>
      <c r="I266" s="992"/>
      <c r="J266" s="992"/>
      <c r="K266" s="992"/>
      <c r="L266" s="992"/>
      <c r="M266" s="992"/>
      <c r="N266" s="992"/>
      <c r="O266" s="992"/>
      <c r="P266" s="992"/>
      <c r="Q266" s="992"/>
      <c r="R266" s="992"/>
      <c r="S266" s="992"/>
      <c r="T266" s="992"/>
      <c r="U266" s="992"/>
      <c r="V266" s="992"/>
      <c r="W266" s="992"/>
      <c r="X266" s="992"/>
      <c r="Y266" s="992"/>
      <c r="Z266" s="992"/>
      <c r="AA266" s="992"/>
      <c r="AB266" s="992"/>
      <c r="AC266" s="992"/>
      <c r="AD266" s="992"/>
      <c r="AE266" s="992"/>
      <c r="AF266" s="992"/>
      <c r="AG266" s="992"/>
      <c r="AH266" s="992"/>
      <c r="AI266" s="992"/>
      <c r="AJ266" s="992"/>
      <c r="AK266" s="992"/>
      <c r="AL266" s="949"/>
      <c r="AM266" s="949"/>
      <c r="AN266" s="110"/>
      <c r="AR266" s="21"/>
    </row>
    <row r="267" spans="1:81">
      <c r="A267" s="994"/>
      <c r="B267" s="881"/>
      <c r="C267" s="941"/>
      <c r="D267" s="941"/>
      <c r="E267" s="881"/>
      <c r="F267" s="941"/>
      <c r="G267" s="941"/>
      <c r="H267" s="941"/>
      <c r="I267" s="941"/>
      <c r="J267" s="941"/>
      <c r="K267" s="941"/>
      <c r="L267" s="941"/>
      <c r="M267" s="941"/>
      <c r="N267" s="941"/>
      <c r="O267" s="941"/>
      <c r="P267" s="941"/>
      <c r="Q267" s="941"/>
      <c r="R267" s="941"/>
      <c r="S267" s="941"/>
      <c r="T267" s="941"/>
      <c r="U267" s="941"/>
      <c r="V267" s="941"/>
      <c r="W267" s="941"/>
      <c r="X267" s="941"/>
      <c r="Y267" s="941"/>
      <c r="Z267" s="941"/>
      <c r="AA267" s="941"/>
      <c r="AB267" s="941"/>
      <c r="AC267" s="941"/>
      <c r="AD267" s="941"/>
      <c r="AE267" s="941"/>
      <c r="AF267" s="941"/>
      <c r="AG267" s="941"/>
      <c r="AH267" s="941"/>
      <c r="AI267" s="882"/>
      <c r="AJ267" s="882" t="s">
        <v>1665</v>
      </c>
      <c r="AK267" s="2980">
        <f>$AO$263</f>
        <v>10</v>
      </c>
      <c r="AL267" s="2981"/>
      <c r="AM267" s="2982"/>
      <c r="AN267" s="110"/>
      <c r="AR267" s="21"/>
    </row>
    <row r="268" spans="1:81" ht="13.5" thickBot="1"/>
    <row r="269" spans="1:81" ht="13.5" thickTop="1">
      <c r="A269" s="995"/>
      <c r="B269" s="995"/>
      <c r="C269" s="995"/>
      <c r="D269" s="995"/>
      <c r="E269" s="995"/>
      <c r="F269" s="995"/>
      <c r="G269" s="995"/>
      <c r="H269" s="995"/>
      <c r="I269" s="995"/>
      <c r="J269" s="995"/>
      <c r="K269" s="995"/>
      <c r="L269" s="995"/>
      <c r="M269" s="995"/>
      <c r="N269" s="995"/>
      <c r="O269" s="995"/>
      <c r="P269" s="995"/>
      <c r="Q269" s="995"/>
      <c r="R269" s="995"/>
      <c r="S269" s="995"/>
      <c r="T269" s="995"/>
      <c r="U269" s="995"/>
      <c r="V269" s="995"/>
      <c r="W269" s="995"/>
      <c r="X269" s="995"/>
      <c r="Y269" s="995"/>
      <c r="Z269" s="995"/>
      <c r="AA269" s="995"/>
      <c r="AB269" s="995"/>
      <c r="AC269" s="995"/>
      <c r="AD269" s="995"/>
      <c r="AE269" s="995"/>
      <c r="AF269" s="995"/>
      <c r="AG269" s="995"/>
      <c r="AH269" s="995"/>
      <c r="AI269" s="995"/>
      <c r="AJ269" s="995"/>
      <c r="AK269" s="995"/>
      <c r="AL269" s="995"/>
      <c r="AM269" s="996"/>
    </row>
    <row r="270" spans="1:81">
      <c r="A270" s="911" t="s">
        <v>1666</v>
      </c>
      <c r="B270" s="911" t="s">
        <v>2452</v>
      </c>
      <c r="AH270" s="957" t="s">
        <v>1578</v>
      </c>
    </row>
    <row r="271" spans="1:81" ht="15" customHeight="1">
      <c r="B271" s="855" t="s">
        <v>2451</v>
      </c>
    </row>
    <row r="272" spans="1:81" ht="15" customHeight="1">
      <c r="B272" s="855" t="s">
        <v>2453</v>
      </c>
    </row>
    <row r="273" spans="1:53">
      <c r="B273" s="866"/>
      <c r="C273" s="997"/>
      <c r="D273" s="866"/>
      <c r="E273" s="866"/>
      <c r="F273" s="866"/>
      <c r="G273" s="866"/>
      <c r="H273" s="866"/>
      <c r="I273" s="866"/>
      <c r="J273" s="866"/>
      <c r="K273" s="866"/>
      <c r="L273" s="866"/>
      <c r="M273" s="866"/>
      <c r="N273" s="866"/>
      <c r="O273" s="866"/>
      <c r="P273" s="866"/>
      <c r="Q273" s="866"/>
      <c r="R273" s="866"/>
      <c r="S273" s="866"/>
      <c r="T273" s="866"/>
      <c r="U273" s="866"/>
      <c r="V273" s="866"/>
      <c r="W273" s="866"/>
      <c r="X273" s="866"/>
      <c r="Y273" s="866"/>
      <c r="Z273" s="866"/>
      <c r="AA273" s="866"/>
      <c r="AB273" s="866"/>
      <c r="AC273" s="866"/>
      <c r="AD273" s="866"/>
      <c r="AG273" s="866"/>
      <c r="AI273" s="866"/>
      <c r="AJ273" s="866"/>
      <c r="AK273" s="949"/>
      <c r="AL273" s="949"/>
      <c r="AM273" s="949"/>
      <c r="AN273" s="110"/>
      <c r="AO273" s="51"/>
      <c r="AP273" s="998"/>
      <c r="AQ273" s="999"/>
      <c r="AR273" s="998"/>
      <c r="AS273" s="998"/>
      <c r="AT273" s="998"/>
      <c r="AU273" s="998"/>
      <c r="AV273" s="1000"/>
      <c r="AW273" s="1000"/>
      <c r="AX273" s="112"/>
      <c r="AY273" s="112"/>
      <c r="AZ273" s="112"/>
      <c r="BA273" s="112"/>
    </row>
    <row r="274" spans="1:53" ht="12.75" customHeight="1">
      <c r="A274" s="3004" t="s">
        <v>1668</v>
      </c>
      <c r="B274" s="3004"/>
      <c r="C274" s="2972" t="s">
        <v>628</v>
      </c>
      <c r="D274" s="2972"/>
      <c r="E274" s="863"/>
      <c r="F274" s="3005" t="s">
        <v>1669</v>
      </c>
      <c r="G274" s="3006"/>
      <c r="H274" s="3006"/>
      <c r="I274" s="3006"/>
      <c r="J274" s="3006"/>
      <c r="K274" s="3006"/>
      <c r="L274" s="3006"/>
      <c r="M274" s="3006"/>
      <c r="N274" s="3006"/>
      <c r="O274" s="3006"/>
      <c r="P274" s="3006"/>
      <c r="Q274" s="3006"/>
      <c r="R274" s="3006"/>
      <c r="S274" s="3006"/>
      <c r="T274" s="3006"/>
      <c r="U274" s="3006"/>
      <c r="V274" s="3006"/>
      <c r="W274" s="3006"/>
      <c r="X274" s="3006"/>
      <c r="Y274" s="3006"/>
      <c r="Z274" s="3006"/>
      <c r="AA274" s="3006"/>
      <c r="AB274" s="3006"/>
      <c r="AC274" s="3006"/>
      <c r="AD274" s="3007"/>
      <c r="AE274" s="1001"/>
      <c r="AF274" s="866"/>
      <c r="AG274" s="909" t="s">
        <v>1670</v>
      </c>
      <c r="AH274" s="866"/>
      <c r="AI274" s="866"/>
      <c r="AJ274" s="866"/>
      <c r="AK274" s="949"/>
      <c r="AL274" s="949"/>
      <c r="AM274" s="949"/>
      <c r="AN274" s="110"/>
      <c r="AO274" s="51"/>
      <c r="AP274" s="126"/>
      <c r="AS274" s="998"/>
      <c r="AT274" s="998"/>
      <c r="AU274" s="998"/>
      <c r="AV274" s="1000"/>
      <c r="AW274" s="1000"/>
      <c r="AX274" s="112"/>
      <c r="AY274" s="112"/>
      <c r="AZ274" s="112"/>
      <c r="BA274" s="112"/>
    </row>
    <row r="275" spans="1:53">
      <c r="A275" s="997"/>
      <c r="B275" s="988"/>
      <c r="F275" s="2998"/>
      <c r="G275" s="2999"/>
      <c r="H275" s="2999"/>
      <c r="I275" s="2999"/>
      <c r="J275" s="2999"/>
      <c r="K275" s="2999"/>
      <c r="L275" s="2999"/>
      <c r="M275" s="2999"/>
      <c r="N275" s="2999"/>
      <c r="O275" s="2999"/>
      <c r="P275" s="2999"/>
      <c r="Q275" s="2999"/>
      <c r="R275" s="2999"/>
      <c r="S275" s="2999"/>
      <c r="T275" s="2999"/>
      <c r="U275" s="2999"/>
      <c r="V275" s="2999"/>
      <c r="W275" s="2999"/>
      <c r="X275" s="2999"/>
      <c r="Y275" s="2999"/>
      <c r="Z275" s="2999"/>
      <c r="AA275" s="2999"/>
      <c r="AB275" s="2999"/>
      <c r="AC275" s="2999"/>
      <c r="AD275" s="3000"/>
      <c r="AE275" s="1001"/>
      <c r="AF275" s="867"/>
      <c r="AH275" s="867"/>
      <c r="AI275" s="867"/>
      <c r="AJ275" s="866"/>
      <c r="AK275" s="949"/>
      <c r="AL275" s="949"/>
      <c r="AM275" s="949"/>
      <c r="AN275" s="110"/>
      <c r="AO275" s="51"/>
      <c r="AP275" s="866">
        <f>IF($C$274="yes",20,0)</f>
        <v>0</v>
      </c>
      <c r="AR275" s="21"/>
      <c r="AS275" s="998"/>
      <c r="AT275" s="998"/>
      <c r="AU275" s="998"/>
      <c r="AV275" s="1000"/>
      <c r="AW275" s="1000"/>
      <c r="AX275" s="112"/>
      <c r="AY275" s="112"/>
      <c r="AZ275" s="112"/>
      <c r="BA275" s="112"/>
    </row>
    <row r="276" spans="1:53" ht="15" customHeight="1">
      <c r="A276" s="997"/>
      <c r="B276" s="988"/>
      <c r="F276" s="2998"/>
      <c r="G276" s="2999"/>
      <c r="H276" s="2999"/>
      <c r="I276" s="2999"/>
      <c r="J276" s="2999"/>
      <c r="K276" s="2999"/>
      <c r="L276" s="2999"/>
      <c r="M276" s="2999"/>
      <c r="N276" s="2999"/>
      <c r="O276" s="2999"/>
      <c r="P276" s="2999"/>
      <c r="Q276" s="2999"/>
      <c r="R276" s="2999"/>
      <c r="S276" s="2999"/>
      <c r="T276" s="2999"/>
      <c r="U276" s="2999"/>
      <c r="V276" s="2999"/>
      <c r="W276" s="2999"/>
      <c r="X276" s="2999"/>
      <c r="Y276" s="2999"/>
      <c r="Z276" s="2999"/>
      <c r="AA276" s="2999"/>
      <c r="AB276" s="2999"/>
      <c r="AC276" s="2999"/>
      <c r="AD276" s="3000"/>
      <c r="AE276" s="1001"/>
      <c r="AF276" s="867"/>
      <c r="AH276" s="867"/>
      <c r="AI276" s="867"/>
      <c r="AJ276" s="866"/>
      <c r="AK276" s="949"/>
      <c r="AL276" s="949"/>
      <c r="AM276" s="949"/>
      <c r="AN276" s="110"/>
      <c r="AO276" s="51"/>
      <c r="AP276" s="866">
        <f>IF($C$284="yes",9,0)</f>
        <v>9</v>
      </c>
      <c r="AR276" s="21"/>
      <c r="AS276" s="998"/>
      <c r="AT276" s="998"/>
      <c r="AU276" s="998"/>
      <c r="AV276" s="1000"/>
      <c r="AW276" s="1000"/>
      <c r="AX276" s="112"/>
      <c r="AY276" s="112"/>
      <c r="AZ276" s="112"/>
      <c r="BA276" s="112"/>
    </row>
    <row r="277" spans="1:53" ht="12.75" customHeight="1">
      <c r="A277" s="997"/>
      <c r="B277" s="988"/>
      <c r="F277" s="2998" t="s">
        <v>1671</v>
      </c>
      <c r="G277" s="2999"/>
      <c r="H277" s="2999"/>
      <c r="I277" s="2999"/>
      <c r="J277" s="2999"/>
      <c r="K277" s="2999"/>
      <c r="L277" s="2999"/>
      <c r="M277" s="2999"/>
      <c r="N277" s="2999"/>
      <c r="O277" s="2999"/>
      <c r="P277" s="2999"/>
      <c r="Q277" s="2999"/>
      <c r="R277" s="2999"/>
      <c r="S277" s="2999"/>
      <c r="T277" s="2999"/>
      <c r="U277" s="2999"/>
      <c r="V277" s="2999"/>
      <c r="W277" s="2999"/>
      <c r="X277" s="2999"/>
      <c r="Y277" s="2999"/>
      <c r="Z277" s="2999"/>
      <c r="AA277" s="2999"/>
      <c r="AB277" s="2999"/>
      <c r="AC277" s="2999"/>
      <c r="AD277" s="3000"/>
      <c r="AE277" s="1001"/>
      <c r="AF277" s="867"/>
      <c r="AH277" s="867"/>
      <c r="AI277" s="867"/>
      <c r="AJ277" s="866"/>
      <c r="AK277" s="949"/>
      <c r="AL277" s="949"/>
      <c r="AM277" s="949"/>
      <c r="AN277" s="110"/>
      <c r="AO277" s="51"/>
      <c r="AP277" s="866">
        <f>IF($C$292="yes",9,0)</f>
        <v>0</v>
      </c>
      <c r="AQ277" s="21"/>
      <c r="AR277" s="21"/>
      <c r="AS277" s="998"/>
      <c r="AT277" s="998"/>
      <c r="AU277" s="998"/>
      <c r="AV277" s="1000"/>
      <c r="AW277" s="1000"/>
      <c r="AX277" s="112"/>
      <c r="AY277" s="112"/>
      <c r="AZ277" s="112"/>
      <c r="BA277" s="112"/>
    </row>
    <row r="278" spans="1:53">
      <c r="A278" s="997"/>
      <c r="B278" s="988"/>
      <c r="F278" s="2998"/>
      <c r="G278" s="2999"/>
      <c r="H278" s="2999"/>
      <c r="I278" s="2999"/>
      <c r="J278" s="2999"/>
      <c r="K278" s="2999"/>
      <c r="L278" s="2999"/>
      <c r="M278" s="2999"/>
      <c r="N278" s="2999"/>
      <c r="O278" s="2999"/>
      <c r="P278" s="2999"/>
      <c r="Q278" s="2999"/>
      <c r="R278" s="2999"/>
      <c r="S278" s="2999"/>
      <c r="T278" s="2999"/>
      <c r="U278" s="2999"/>
      <c r="V278" s="2999"/>
      <c r="W278" s="2999"/>
      <c r="X278" s="2999"/>
      <c r="Y278" s="2999"/>
      <c r="Z278" s="2999"/>
      <c r="AA278" s="2999"/>
      <c r="AB278" s="2999"/>
      <c r="AC278" s="2999"/>
      <c r="AD278" s="3000"/>
      <c r="AE278" s="1001"/>
      <c r="AF278" s="867"/>
      <c r="AH278" s="867"/>
      <c r="AI278" s="867"/>
      <c r="AJ278" s="866"/>
      <c r="AK278" s="949"/>
      <c r="AL278" s="949"/>
      <c r="AM278" s="949"/>
      <c r="AN278" s="110"/>
      <c r="AO278" s="51"/>
      <c r="AP278" s="866">
        <f>IF($C$315="yes",9,0)</f>
        <v>0</v>
      </c>
      <c r="AR278" s="21"/>
      <c r="AS278" s="998"/>
      <c r="AT278" s="998"/>
      <c r="AU278" s="998"/>
      <c r="AV278" s="1000"/>
      <c r="AW278" s="1000"/>
      <c r="AX278" s="112"/>
      <c r="AY278" s="112"/>
      <c r="AZ278" s="112"/>
      <c r="BA278" s="112"/>
    </row>
    <row r="279" spans="1:53" ht="12.75" customHeight="1">
      <c r="A279" s="983"/>
      <c r="B279" s="867"/>
      <c r="C279" s="866"/>
      <c r="D279" s="867"/>
      <c r="E279" s="866"/>
      <c r="F279" s="2998" t="s">
        <v>1672</v>
      </c>
      <c r="G279" s="2999"/>
      <c r="H279" s="2999"/>
      <c r="I279" s="2999"/>
      <c r="J279" s="2999"/>
      <c r="K279" s="2999"/>
      <c r="L279" s="2999"/>
      <c r="M279" s="2999"/>
      <c r="N279" s="2999"/>
      <c r="O279" s="2999"/>
      <c r="P279" s="2999"/>
      <c r="Q279" s="2999"/>
      <c r="R279" s="2999"/>
      <c r="S279" s="2999"/>
      <c r="T279" s="2999"/>
      <c r="U279" s="2999"/>
      <c r="V279" s="2999"/>
      <c r="W279" s="2999"/>
      <c r="X279" s="2999"/>
      <c r="Y279" s="2999"/>
      <c r="Z279" s="2999"/>
      <c r="AA279" s="2999"/>
      <c r="AB279" s="2999"/>
      <c r="AC279" s="2999"/>
      <c r="AD279" s="3000"/>
      <c r="AE279" s="1001"/>
      <c r="AF279" s="867"/>
      <c r="AG279" s="867"/>
      <c r="AH279" s="867"/>
      <c r="AI279" s="867"/>
      <c r="AJ279" s="866"/>
      <c r="AK279" s="949"/>
      <c r="AL279" s="949"/>
      <c r="AM279" s="949"/>
      <c r="AN279" s="110"/>
      <c r="AO279" s="51"/>
      <c r="AP279" s="1002">
        <f>MAX(AP275,AP276,AP277,AP278)</f>
        <v>9</v>
      </c>
      <c r="AQ279" s="891" t="s">
        <v>1602</v>
      </c>
      <c r="AR279" s="21"/>
      <c r="AS279" s="998"/>
      <c r="AT279" s="998"/>
      <c r="AU279" s="998"/>
      <c r="AV279" s="1000"/>
      <c r="AW279" s="1000"/>
      <c r="AX279" s="112"/>
      <c r="AY279" s="112"/>
      <c r="AZ279" s="112"/>
      <c r="BA279" s="112"/>
    </row>
    <row r="280" spans="1:53" ht="15" customHeight="1">
      <c r="A280" s="983"/>
      <c r="B280" s="867"/>
      <c r="C280" s="867"/>
      <c r="D280" s="867"/>
      <c r="E280" s="867"/>
      <c r="F280" s="2998"/>
      <c r="G280" s="2999"/>
      <c r="H280" s="2999"/>
      <c r="I280" s="2999"/>
      <c r="J280" s="2999"/>
      <c r="K280" s="2999"/>
      <c r="L280" s="2999"/>
      <c r="M280" s="2999"/>
      <c r="N280" s="2999"/>
      <c r="O280" s="2999"/>
      <c r="P280" s="2999"/>
      <c r="Q280" s="2999"/>
      <c r="R280" s="2999"/>
      <c r="S280" s="2999"/>
      <c r="T280" s="2999"/>
      <c r="U280" s="2999"/>
      <c r="V280" s="2999"/>
      <c r="W280" s="2999"/>
      <c r="X280" s="2999"/>
      <c r="Y280" s="2999"/>
      <c r="Z280" s="2999"/>
      <c r="AA280" s="2999"/>
      <c r="AB280" s="2999"/>
      <c r="AC280" s="2999"/>
      <c r="AD280" s="3000"/>
      <c r="AE280" s="1001"/>
      <c r="AF280" s="867"/>
      <c r="AG280" s="867"/>
      <c r="AH280" s="867"/>
      <c r="AI280" s="867"/>
      <c r="AJ280" s="866"/>
      <c r="AK280" s="949"/>
      <c r="AL280" s="949"/>
      <c r="AM280" s="949"/>
      <c r="AN280" s="110"/>
      <c r="AO280" s="51"/>
      <c r="AR280" s="21"/>
      <c r="AS280" s="998"/>
      <c r="AT280" s="998"/>
      <c r="AU280" s="998"/>
      <c r="AV280" s="1000"/>
      <c r="AW280" s="1000"/>
      <c r="AX280" s="112"/>
      <c r="AY280" s="112"/>
      <c r="AZ280" s="112"/>
      <c r="BA280" s="112"/>
    </row>
    <row r="281" spans="1:53" ht="12.75" customHeight="1">
      <c r="A281" s="983"/>
      <c r="B281" s="867"/>
      <c r="C281" s="867"/>
      <c r="D281" s="867"/>
      <c r="E281" s="867"/>
      <c r="F281" s="2998" t="s">
        <v>1673</v>
      </c>
      <c r="G281" s="2999"/>
      <c r="H281" s="2999"/>
      <c r="I281" s="2999"/>
      <c r="J281" s="2999"/>
      <c r="K281" s="2999"/>
      <c r="L281" s="2999"/>
      <c r="M281" s="2999"/>
      <c r="N281" s="2999"/>
      <c r="O281" s="2999"/>
      <c r="P281" s="2999"/>
      <c r="Q281" s="2999"/>
      <c r="R281" s="2999"/>
      <c r="S281" s="2999"/>
      <c r="T281" s="2999"/>
      <c r="U281" s="2999"/>
      <c r="V281" s="2999"/>
      <c r="W281" s="2999"/>
      <c r="X281" s="2999"/>
      <c r="Y281" s="2999"/>
      <c r="Z281" s="2999"/>
      <c r="AA281" s="2999"/>
      <c r="AB281" s="2999"/>
      <c r="AC281" s="2999"/>
      <c r="AD281" s="3000"/>
      <c r="AE281" s="1003"/>
      <c r="AF281" s="867"/>
      <c r="AG281" s="867"/>
      <c r="AH281" s="867"/>
      <c r="AI281" s="867"/>
      <c r="AJ281" s="866"/>
      <c r="AK281" s="949"/>
      <c r="AL281" s="949"/>
      <c r="AM281" s="949"/>
      <c r="AN281" s="110"/>
      <c r="AO281" s="51"/>
      <c r="AP281" s="866"/>
      <c r="AR281" s="21"/>
      <c r="AS281" s="998"/>
      <c r="AT281" s="998"/>
      <c r="AU281" s="998"/>
      <c r="AV281" s="1000"/>
      <c r="AW281" s="1000"/>
      <c r="AX281" s="112"/>
      <c r="AY281" s="112"/>
      <c r="AZ281" s="112"/>
      <c r="BA281" s="112"/>
    </row>
    <row r="282" spans="1:53">
      <c r="A282" s="983"/>
      <c r="B282" s="867"/>
      <c r="C282" s="867"/>
      <c r="D282" s="867"/>
      <c r="E282" s="867"/>
      <c r="F282" s="3001"/>
      <c r="G282" s="3002"/>
      <c r="H282" s="3002"/>
      <c r="I282" s="3002"/>
      <c r="J282" s="3002"/>
      <c r="K282" s="3002"/>
      <c r="L282" s="3002"/>
      <c r="M282" s="3002"/>
      <c r="N282" s="3002"/>
      <c r="O282" s="3002"/>
      <c r="P282" s="3002"/>
      <c r="Q282" s="3002"/>
      <c r="R282" s="3002"/>
      <c r="S282" s="3002"/>
      <c r="T282" s="3002"/>
      <c r="U282" s="3002"/>
      <c r="V282" s="3002"/>
      <c r="W282" s="3002"/>
      <c r="X282" s="3002"/>
      <c r="Y282" s="3002"/>
      <c r="Z282" s="3002"/>
      <c r="AA282" s="3002"/>
      <c r="AB282" s="3002"/>
      <c r="AC282" s="3002"/>
      <c r="AD282" s="3003"/>
      <c r="AE282" s="1003"/>
      <c r="AF282" s="867"/>
      <c r="AG282" s="867"/>
      <c r="AH282" s="867"/>
      <c r="AI282" s="867"/>
      <c r="AJ282" s="866"/>
      <c r="AK282" s="949"/>
      <c r="AL282" s="949"/>
      <c r="AM282" s="949"/>
      <c r="AN282" s="110"/>
      <c r="AO282" s="51"/>
      <c r="AP282" s="866"/>
      <c r="AR282" s="21"/>
      <c r="AS282" s="998"/>
      <c r="AT282" s="998"/>
      <c r="AU282" s="998"/>
      <c r="AV282" s="1000"/>
      <c r="AW282" s="1000"/>
      <c r="AX282" s="112"/>
      <c r="AY282" s="112"/>
      <c r="AZ282" s="112"/>
      <c r="BA282" s="112"/>
    </row>
    <row r="283" spans="1:53">
      <c r="A283" s="983"/>
      <c r="B283" s="867"/>
      <c r="C283" s="867"/>
      <c r="D283" s="867"/>
      <c r="E283" s="867"/>
      <c r="F283" s="1003"/>
      <c r="G283" s="1003"/>
      <c r="H283" s="1003"/>
      <c r="I283" s="1003"/>
      <c r="J283" s="1003"/>
      <c r="K283" s="1003"/>
      <c r="L283" s="1003"/>
      <c r="M283" s="1003"/>
      <c r="N283" s="1003"/>
      <c r="O283" s="1003"/>
      <c r="P283" s="1003"/>
      <c r="Q283" s="1003"/>
      <c r="R283" s="1003"/>
      <c r="S283" s="1003"/>
      <c r="T283" s="1003"/>
      <c r="U283" s="1003"/>
      <c r="V283" s="1003"/>
      <c r="W283" s="1003"/>
      <c r="X283" s="1003"/>
      <c r="Y283" s="1003"/>
      <c r="Z283" s="1003"/>
      <c r="AA283" s="1003"/>
      <c r="AB283" s="1003"/>
      <c r="AC283" s="1003"/>
      <c r="AD283" s="1003"/>
      <c r="AE283" s="867"/>
      <c r="AF283" s="867"/>
      <c r="AG283" s="867"/>
      <c r="AH283" s="867"/>
      <c r="AI283" s="867"/>
      <c r="AJ283" s="866"/>
      <c r="AK283" s="949"/>
      <c r="AL283" s="949"/>
      <c r="AM283" s="949"/>
      <c r="AN283" s="110"/>
      <c r="AO283" s="51"/>
      <c r="AR283" s="21"/>
      <c r="AS283" s="1004"/>
      <c r="AT283" s="1004"/>
      <c r="AU283" s="1004"/>
      <c r="AV283" s="54"/>
      <c r="AW283" s="54"/>
    </row>
    <row r="284" spans="1:53" ht="15" customHeight="1">
      <c r="A284" s="3004" t="s">
        <v>1674</v>
      </c>
      <c r="B284" s="3004"/>
      <c r="C284" s="2972" t="s">
        <v>580</v>
      </c>
      <c r="D284" s="2972"/>
      <c r="E284" s="863"/>
      <c r="F284" s="1005" t="s">
        <v>1675</v>
      </c>
      <c r="G284" s="1006"/>
      <c r="H284" s="1006"/>
      <c r="I284" s="1006"/>
      <c r="J284" s="1006"/>
      <c r="K284" s="1006"/>
      <c r="L284" s="1006"/>
      <c r="M284" s="1006"/>
      <c r="N284" s="1006"/>
      <c r="O284" s="1006"/>
      <c r="P284" s="1006"/>
      <c r="Q284" s="1006"/>
      <c r="R284" s="1006"/>
      <c r="S284" s="1006"/>
      <c r="T284" s="1006"/>
      <c r="U284" s="1006"/>
      <c r="V284" s="1006"/>
      <c r="W284" s="1006"/>
      <c r="X284" s="1006"/>
      <c r="Y284" s="1006"/>
      <c r="Z284" s="1006"/>
      <c r="AA284" s="1006"/>
      <c r="AB284" s="1006"/>
      <c r="AC284" s="1006"/>
      <c r="AD284" s="1007"/>
      <c r="AE284" s="867"/>
      <c r="AF284" s="867"/>
      <c r="AG284" s="909" t="s">
        <v>1676</v>
      </c>
      <c r="AH284" s="867"/>
      <c r="AI284" s="867"/>
      <c r="AJ284" s="866"/>
      <c r="AK284" s="949"/>
      <c r="AL284" s="949"/>
      <c r="AM284" s="949"/>
      <c r="AN284" s="1008"/>
      <c r="AO284" s="51"/>
      <c r="AR284" s="21"/>
    </row>
    <row r="285" spans="1:53">
      <c r="A285" s="983"/>
      <c r="B285" s="867"/>
      <c r="C285" s="866"/>
      <c r="D285" s="867"/>
      <c r="E285" s="866"/>
      <c r="F285" s="2998" t="s">
        <v>1677</v>
      </c>
      <c r="G285" s="2999"/>
      <c r="H285" s="2999"/>
      <c r="I285" s="2999"/>
      <c r="J285" s="2999"/>
      <c r="K285" s="2999"/>
      <c r="L285" s="2999"/>
      <c r="M285" s="2999"/>
      <c r="N285" s="2999"/>
      <c r="O285" s="2999"/>
      <c r="P285" s="2999"/>
      <c r="Q285" s="2999"/>
      <c r="R285" s="2999"/>
      <c r="S285" s="2999"/>
      <c r="T285" s="2999"/>
      <c r="U285" s="2999"/>
      <c r="V285" s="2999"/>
      <c r="W285" s="2999"/>
      <c r="X285" s="2999"/>
      <c r="Y285" s="2999"/>
      <c r="Z285" s="2999"/>
      <c r="AA285" s="2999"/>
      <c r="AB285" s="2999"/>
      <c r="AC285" s="2999"/>
      <c r="AD285" s="3000"/>
      <c r="AE285" s="867"/>
      <c r="AF285" s="867"/>
      <c r="AG285" s="867"/>
      <c r="AH285" s="867"/>
      <c r="AI285" s="867"/>
      <c r="AJ285" s="866"/>
      <c r="AK285" s="949"/>
      <c r="AL285" s="949"/>
      <c r="AM285" s="949"/>
      <c r="AR285" s="1009"/>
    </row>
    <row r="286" spans="1:53" ht="15" customHeight="1">
      <c r="A286" s="983"/>
      <c r="B286" s="867"/>
      <c r="C286" s="866"/>
      <c r="D286" s="867"/>
      <c r="E286" s="866"/>
      <c r="F286" s="2998"/>
      <c r="G286" s="2999"/>
      <c r="H286" s="2999"/>
      <c r="I286" s="2999"/>
      <c r="J286" s="2999"/>
      <c r="K286" s="2999"/>
      <c r="L286" s="2999"/>
      <c r="M286" s="2999"/>
      <c r="N286" s="2999"/>
      <c r="O286" s="2999"/>
      <c r="P286" s="2999"/>
      <c r="Q286" s="2999"/>
      <c r="R286" s="2999"/>
      <c r="S286" s="2999"/>
      <c r="T286" s="2999"/>
      <c r="U286" s="2999"/>
      <c r="V286" s="2999"/>
      <c r="W286" s="2999"/>
      <c r="X286" s="2999"/>
      <c r="Y286" s="2999"/>
      <c r="Z286" s="2999"/>
      <c r="AA286" s="2999"/>
      <c r="AB286" s="2999"/>
      <c r="AC286" s="2999"/>
      <c r="AD286" s="3000"/>
      <c r="AE286" s="867"/>
      <c r="AF286" s="867"/>
      <c r="AG286" s="867"/>
      <c r="AH286" s="867"/>
      <c r="AI286" s="867"/>
      <c r="AJ286" s="866"/>
      <c r="AK286" s="949"/>
      <c r="AL286" s="949"/>
      <c r="AM286" s="949"/>
      <c r="AR286" s="1009"/>
    </row>
    <row r="287" spans="1:53">
      <c r="A287" s="983"/>
      <c r="B287" s="867"/>
      <c r="C287" s="866"/>
      <c r="D287" s="867"/>
      <c r="E287" s="866"/>
      <c r="F287" s="2998" t="s">
        <v>1672</v>
      </c>
      <c r="G287" s="2999"/>
      <c r="H287" s="2999"/>
      <c r="I287" s="2999"/>
      <c r="J287" s="2999"/>
      <c r="K287" s="2999"/>
      <c r="L287" s="2999"/>
      <c r="M287" s="2999"/>
      <c r="N287" s="2999"/>
      <c r="O287" s="2999"/>
      <c r="P287" s="2999"/>
      <c r="Q287" s="2999"/>
      <c r="R287" s="2999"/>
      <c r="S287" s="2999"/>
      <c r="T287" s="2999"/>
      <c r="U287" s="2999"/>
      <c r="V287" s="2999"/>
      <c r="W287" s="2999"/>
      <c r="X287" s="2999"/>
      <c r="Y287" s="2999"/>
      <c r="Z287" s="2999"/>
      <c r="AA287" s="2999"/>
      <c r="AB287" s="2999"/>
      <c r="AC287" s="2999"/>
      <c r="AD287" s="3000"/>
      <c r="AE287" s="867"/>
      <c r="AF287" s="867"/>
      <c r="AG287" s="867"/>
      <c r="AH287" s="867"/>
      <c r="AI287" s="867"/>
      <c r="AJ287" s="866"/>
      <c r="AK287" s="949"/>
      <c r="AL287" s="949"/>
      <c r="AM287" s="949"/>
      <c r="AP287" s="1002"/>
      <c r="AQ287" s="891"/>
      <c r="AR287" s="1009"/>
    </row>
    <row r="288" spans="1:53" ht="15" customHeight="1">
      <c r="A288" s="983"/>
      <c r="B288" s="867"/>
      <c r="C288" s="866"/>
      <c r="D288" s="867"/>
      <c r="E288" s="866"/>
      <c r="F288" s="2998"/>
      <c r="G288" s="2999"/>
      <c r="H288" s="2999"/>
      <c r="I288" s="2999"/>
      <c r="J288" s="2999"/>
      <c r="K288" s="2999"/>
      <c r="L288" s="2999"/>
      <c r="M288" s="2999"/>
      <c r="N288" s="2999"/>
      <c r="O288" s="2999"/>
      <c r="P288" s="2999"/>
      <c r="Q288" s="2999"/>
      <c r="R288" s="2999"/>
      <c r="S288" s="2999"/>
      <c r="T288" s="2999"/>
      <c r="U288" s="2999"/>
      <c r="V288" s="2999"/>
      <c r="W288" s="2999"/>
      <c r="X288" s="2999"/>
      <c r="Y288" s="2999"/>
      <c r="Z288" s="2999"/>
      <c r="AA288" s="2999"/>
      <c r="AB288" s="2999"/>
      <c r="AC288" s="2999"/>
      <c r="AD288" s="3000"/>
      <c r="AE288" s="867"/>
      <c r="AF288" s="867"/>
      <c r="AG288" s="867"/>
      <c r="AH288" s="867"/>
      <c r="AI288" s="867"/>
      <c r="AJ288" s="866"/>
      <c r="AK288" s="949"/>
      <c r="AL288" s="949"/>
      <c r="AM288" s="949"/>
      <c r="AP288" s="1002"/>
      <c r="AQ288" s="891"/>
      <c r="AR288" s="1009"/>
    </row>
    <row r="289" spans="1:60">
      <c r="A289" s="983"/>
      <c r="B289" s="867"/>
      <c r="C289" s="866"/>
      <c r="D289" s="867"/>
      <c r="E289" s="866"/>
      <c r="F289" s="2998" t="s">
        <v>1678</v>
      </c>
      <c r="G289" s="2999"/>
      <c r="H289" s="2999"/>
      <c r="I289" s="2999"/>
      <c r="J289" s="2999"/>
      <c r="K289" s="2999"/>
      <c r="L289" s="2999"/>
      <c r="M289" s="2999"/>
      <c r="N289" s="2999"/>
      <c r="O289" s="2999"/>
      <c r="P289" s="2999"/>
      <c r="Q289" s="2999"/>
      <c r="R289" s="2999"/>
      <c r="S289" s="2999"/>
      <c r="T289" s="2999"/>
      <c r="U289" s="2999"/>
      <c r="V289" s="2999"/>
      <c r="W289" s="2999"/>
      <c r="X289" s="2999"/>
      <c r="Y289" s="2999"/>
      <c r="Z289" s="2999"/>
      <c r="AA289" s="2999"/>
      <c r="AB289" s="2999"/>
      <c r="AC289" s="2999"/>
      <c r="AD289" s="3000"/>
      <c r="AE289" s="867"/>
      <c r="AF289" s="867"/>
      <c r="AG289" s="867"/>
      <c r="AH289" s="867"/>
      <c r="AI289" s="867"/>
      <c r="AJ289" s="866"/>
      <c r="AK289" s="949"/>
      <c r="AL289" s="949"/>
      <c r="AM289" s="949"/>
      <c r="AP289" s="1002"/>
      <c r="AQ289" s="891"/>
      <c r="AR289" s="1009"/>
    </row>
    <row r="290" spans="1:60">
      <c r="A290" s="983"/>
      <c r="B290" s="867"/>
      <c r="C290" s="866"/>
      <c r="D290" s="867"/>
      <c r="E290" s="866"/>
      <c r="F290" s="3001"/>
      <c r="G290" s="3002"/>
      <c r="H290" s="3002"/>
      <c r="I290" s="3002"/>
      <c r="J290" s="3002"/>
      <c r="K290" s="3002"/>
      <c r="L290" s="3002"/>
      <c r="M290" s="3002"/>
      <c r="N290" s="3002"/>
      <c r="O290" s="3002"/>
      <c r="P290" s="3002"/>
      <c r="Q290" s="3002"/>
      <c r="R290" s="3002"/>
      <c r="S290" s="3002"/>
      <c r="T290" s="3002"/>
      <c r="U290" s="3002"/>
      <c r="V290" s="3002"/>
      <c r="W290" s="3002"/>
      <c r="X290" s="3002"/>
      <c r="Y290" s="3002"/>
      <c r="Z290" s="3002"/>
      <c r="AA290" s="3002"/>
      <c r="AB290" s="3002"/>
      <c r="AC290" s="3002"/>
      <c r="AD290" s="3003"/>
      <c r="AE290" s="867"/>
      <c r="AF290" s="867"/>
      <c r="AG290" s="867"/>
      <c r="AH290" s="867"/>
      <c r="AI290" s="867"/>
      <c r="AJ290" s="866"/>
      <c r="AK290" s="949"/>
      <c r="AL290" s="949"/>
      <c r="AM290" s="949"/>
      <c r="AP290" s="1002"/>
      <c r="AQ290" s="891"/>
      <c r="AR290" s="1009"/>
    </row>
    <row r="291" spans="1:60">
      <c r="A291" s="983"/>
      <c r="B291" s="867"/>
      <c r="C291" s="867"/>
      <c r="D291" s="867"/>
      <c r="E291" s="867"/>
      <c r="F291" s="867"/>
      <c r="G291" s="867"/>
      <c r="H291" s="867"/>
      <c r="I291" s="867"/>
      <c r="J291" s="867"/>
      <c r="K291" s="867"/>
      <c r="L291" s="867"/>
      <c r="M291" s="867"/>
      <c r="N291" s="867"/>
      <c r="O291" s="867"/>
      <c r="P291" s="867"/>
      <c r="Q291" s="867"/>
      <c r="R291" s="867"/>
      <c r="S291" s="867"/>
      <c r="T291" s="867"/>
      <c r="U291" s="867"/>
      <c r="V291" s="867"/>
      <c r="W291" s="867"/>
      <c r="X291" s="867"/>
      <c r="Y291" s="867"/>
      <c r="Z291" s="867"/>
      <c r="AA291" s="867"/>
      <c r="AB291" s="867"/>
      <c r="AC291" s="867"/>
      <c r="AD291" s="867"/>
      <c r="AE291" s="867"/>
      <c r="AF291" s="867"/>
      <c r="AG291" s="867"/>
      <c r="AH291" s="867"/>
      <c r="AI291" s="867"/>
      <c r="AJ291" s="866"/>
      <c r="AK291" s="949"/>
      <c r="AL291" s="949"/>
      <c r="AM291" s="949"/>
      <c r="AN291" s="110"/>
      <c r="AO291" s="51"/>
      <c r="AR291" s="21"/>
    </row>
    <row r="292" spans="1:60">
      <c r="A292" s="3004" t="s">
        <v>1679</v>
      </c>
      <c r="B292" s="3004"/>
      <c r="C292" s="2972" t="s">
        <v>628</v>
      </c>
      <c r="D292" s="2972"/>
      <c r="E292" s="863"/>
      <c r="F292" s="1620"/>
      <c r="G292" s="1010"/>
      <c r="H292" s="1010"/>
      <c r="I292" s="1010"/>
      <c r="J292" s="1010"/>
      <c r="K292" s="1010"/>
      <c r="L292" s="1010"/>
      <c r="M292" s="1010"/>
      <c r="N292" s="1010"/>
      <c r="O292" s="1010"/>
      <c r="P292" s="1010"/>
      <c r="Q292" s="1010"/>
      <c r="R292" s="1010"/>
      <c r="S292" s="1010"/>
      <c r="T292" s="1010"/>
      <c r="U292" s="1010"/>
      <c r="V292" s="1010"/>
      <c r="W292" s="1010"/>
      <c r="X292" s="1010"/>
      <c r="Y292" s="1010"/>
      <c r="Z292" s="1010"/>
      <c r="AA292" s="1010"/>
      <c r="AB292" s="1010"/>
      <c r="AC292" s="1010"/>
      <c r="AD292" s="1011"/>
      <c r="AE292" s="867"/>
      <c r="AF292" s="867"/>
      <c r="AG292" s="935" t="s">
        <v>1676</v>
      </c>
      <c r="AH292" s="867"/>
      <c r="AI292" s="867"/>
      <c r="AJ292" s="866"/>
      <c r="AK292" s="949"/>
      <c r="AL292" s="949"/>
      <c r="AM292" s="949"/>
      <c r="AN292" s="110"/>
      <c r="AO292" s="51"/>
      <c r="AR292" s="21"/>
    </row>
    <row r="293" spans="1:60">
      <c r="A293" s="1657"/>
      <c r="B293" s="1657"/>
      <c r="C293" s="1653"/>
      <c r="D293" s="1653"/>
      <c r="E293" s="863"/>
      <c r="F293" s="1172"/>
      <c r="G293" s="867"/>
      <c r="H293" s="867"/>
      <c r="I293" s="867"/>
      <c r="J293" s="867"/>
      <c r="K293" s="867"/>
      <c r="L293" s="867"/>
      <c r="M293" s="867"/>
      <c r="N293" s="867"/>
      <c r="O293" s="867"/>
      <c r="P293" s="867"/>
      <c r="Q293" s="867"/>
      <c r="R293" s="867"/>
      <c r="S293" s="867"/>
      <c r="T293" s="867"/>
      <c r="U293" s="867"/>
      <c r="V293" s="867"/>
      <c r="W293" s="867"/>
      <c r="X293" s="867"/>
      <c r="Y293" s="867"/>
      <c r="Z293" s="867"/>
      <c r="AA293" s="867"/>
      <c r="AB293" s="867"/>
      <c r="AC293" s="867"/>
      <c r="AD293" s="1020"/>
      <c r="AE293" s="867"/>
      <c r="AF293" s="867"/>
      <c r="AG293" s="935"/>
      <c r="AH293" s="867"/>
      <c r="AI293" s="867"/>
      <c r="AJ293" s="866"/>
      <c r="AK293" s="949"/>
      <c r="AL293" s="949"/>
      <c r="AM293" s="949"/>
      <c r="AN293" s="110"/>
      <c r="AO293" s="51"/>
      <c r="AP293" s="873" t="s">
        <v>1388</v>
      </c>
      <c r="AR293" s="21"/>
    </row>
    <row r="294" spans="1:60" s="21" customFormat="1">
      <c r="F294" s="1017" t="s">
        <v>1675</v>
      </c>
      <c r="G294" s="867"/>
      <c r="H294" s="867"/>
      <c r="I294" s="867"/>
      <c r="J294" s="867"/>
      <c r="K294" s="867"/>
      <c r="L294" s="867"/>
      <c r="M294" s="867"/>
      <c r="N294" s="867"/>
      <c r="O294" s="867"/>
      <c r="P294" s="867"/>
      <c r="Q294" s="867"/>
      <c r="R294" s="867"/>
      <c r="S294" s="867"/>
      <c r="T294" s="867"/>
      <c r="U294" s="867"/>
      <c r="V294" s="867"/>
      <c r="W294" s="867"/>
      <c r="X294" s="867"/>
      <c r="Y294" s="867"/>
      <c r="Z294" s="867"/>
      <c r="AA294" s="867"/>
      <c r="AB294" s="867"/>
      <c r="AC294" s="867"/>
      <c r="AD294" s="1020"/>
      <c r="AE294" s="867"/>
      <c r="AF294" s="867"/>
      <c r="AH294" s="867"/>
      <c r="AI294" s="867"/>
      <c r="AJ294" s="1012"/>
      <c r="AK294" s="983"/>
      <c r="AL294" s="983"/>
      <c r="AM294" s="983"/>
      <c r="AN294" s="1013"/>
      <c r="AP294" s="1014" t="s">
        <v>2247</v>
      </c>
      <c r="BD294" s="1015"/>
      <c r="BE294" s="1015"/>
      <c r="BF294" s="1015"/>
      <c r="BG294" s="1015"/>
      <c r="BH294" s="1015"/>
    </row>
    <row r="295" spans="1:60">
      <c r="A295" s="983"/>
      <c r="B295" s="867"/>
      <c r="C295" s="1653"/>
      <c r="D295" s="1653"/>
      <c r="E295" s="863"/>
      <c r="F295" s="2998" t="s">
        <v>1680</v>
      </c>
      <c r="G295" s="2999"/>
      <c r="H295" s="2999"/>
      <c r="I295" s="2999"/>
      <c r="J295" s="2999"/>
      <c r="K295" s="2999"/>
      <c r="L295" s="2999"/>
      <c r="M295" s="2999"/>
      <c r="N295" s="2999"/>
      <c r="O295" s="2999"/>
      <c r="P295" s="2999"/>
      <c r="Q295" s="2999"/>
      <c r="R295" s="2999"/>
      <c r="S295" s="2999"/>
      <c r="T295" s="2999"/>
      <c r="U295" s="2999"/>
      <c r="V295" s="2999"/>
      <c r="W295" s="2999"/>
      <c r="X295" s="2999"/>
      <c r="Y295" s="2999"/>
      <c r="Z295" s="2999"/>
      <c r="AA295" s="2999"/>
      <c r="AB295" s="2999"/>
      <c r="AC295" s="2999"/>
      <c r="AD295" s="3000"/>
      <c r="AE295" s="867"/>
      <c r="AF295" s="867"/>
      <c r="AG295" s="909"/>
      <c r="AH295" s="867"/>
      <c r="AI295" s="867"/>
      <c r="AJ295" s="866"/>
      <c r="AK295" s="949"/>
      <c r="AL295" s="949"/>
      <c r="AM295" s="949"/>
      <c r="AN295" s="110"/>
      <c r="AO295" s="51"/>
      <c r="AP295" s="1014" t="s">
        <v>2249</v>
      </c>
      <c r="AR295" s="21"/>
    </row>
    <row r="296" spans="1:60">
      <c r="A296" s="983"/>
      <c r="B296" s="867"/>
      <c r="C296" s="1653"/>
      <c r="D296" s="1653"/>
      <c r="E296" s="863"/>
      <c r="F296" s="2998"/>
      <c r="G296" s="2999"/>
      <c r="H296" s="2999"/>
      <c r="I296" s="2999"/>
      <c r="J296" s="2999"/>
      <c r="K296" s="2999"/>
      <c r="L296" s="2999"/>
      <c r="M296" s="2999"/>
      <c r="N296" s="2999"/>
      <c r="O296" s="2999"/>
      <c r="P296" s="2999"/>
      <c r="Q296" s="2999"/>
      <c r="R296" s="2999"/>
      <c r="S296" s="2999"/>
      <c r="T296" s="2999"/>
      <c r="U296" s="2999"/>
      <c r="V296" s="2999"/>
      <c r="W296" s="2999"/>
      <c r="X296" s="2999"/>
      <c r="Y296" s="2999"/>
      <c r="Z296" s="2999"/>
      <c r="AA296" s="2999"/>
      <c r="AB296" s="2999"/>
      <c r="AC296" s="2999"/>
      <c r="AD296" s="3000"/>
      <c r="AE296" s="867"/>
      <c r="AF296" s="867"/>
      <c r="AG296" s="909"/>
      <c r="AH296" s="867"/>
      <c r="AI296" s="867"/>
      <c r="AJ296" s="948"/>
      <c r="AK296" s="949"/>
      <c r="AL296" s="949"/>
      <c r="AM296" s="949"/>
      <c r="AN296" s="110"/>
      <c r="AO296" s="51"/>
      <c r="AP296" s="1014" t="s">
        <v>2455</v>
      </c>
      <c r="AR296" s="21"/>
    </row>
    <row r="297" spans="1:60" ht="12.75" customHeight="1">
      <c r="A297" s="983"/>
      <c r="B297" s="867"/>
      <c r="C297" s="1653"/>
      <c r="D297" s="1653"/>
      <c r="E297" s="863"/>
      <c r="F297" s="1017" t="s">
        <v>1681</v>
      </c>
      <c r="G297" s="1001"/>
      <c r="H297" s="1001"/>
      <c r="I297" s="1001"/>
      <c r="J297" s="1001"/>
      <c r="K297" s="1001"/>
      <c r="L297" s="1001"/>
      <c r="M297" s="1001"/>
      <c r="N297" s="1001"/>
      <c r="O297" s="1001"/>
      <c r="P297" s="1001"/>
      <c r="Q297" s="1001"/>
      <c r="R297" s="1001"/>
      <c r="S297" s="1001"/>
      <c r="T297" s="1001"/>
      <c r="U297" s="1001"/>
      <c r="V297" s="1001"/>
      <c r="W297" s="1001"/>
      <c r="X297" s="1001"/>
      <c r="Y297" s="1001"/>
      <c r="Z297" s="1001"/>
      <c r="AA297" s="1001"/>
      <c r="AB297" s="1001"/>
      <c r="AC297" s="1001"/>
      <c r="AD297" s="1018"/>
      <c r="AE297" s="867"/>
      <c r="AF297" s="867"/>
      <c r="AG297" s="909"/>
      <c r="AH297" s="867"/>
      <c r="AI297" s="867"/>
      <c r="AJ297" s="949"/>
      <c r="AK297" s="949"/>
      <c r="AL297" s="949"/>
      <c r="AM297" s="949"/>
      <c r="AN297" s="110"/>
      <c r="AO297" s="51"/>
      <c r="AP297" s="126"/>
      <c r="AR297" s="21"/>
    </row>
    <row r="298" spans="1:60" ht="12.75" customHeight="1">
      <c r="A298" s="983"/>
      <c r="B298" s="867"/>
      <c r="C298" s="1653"/>
      <c r="D298" s="1653"/>
      <c r="E298" s="863"/>
      <c r="F298" s="3008" t="s">
        <v>1388</v>
      </c>
      <c r="G298" s="3009"/>
      <c r="H298" s="3009"/>
      <c r="I298" s="3009"/>
      <c r="J298" s="3009"/>
      <c r="K298" s="3009"/>
      <c r="L298" s="3009"/>
      <c r="M298" s="3009"/>
      <c r="N298" s="3009"/>
      <c r="O298" s="3009"/>
      <c r="P298" s="3009"/>
      <c r="Q298" s="3009"/>
      <c r="R298" s="3009"/>
      <c r="S298" s="3009"/>
      <c r="T298" s="3009"/>
      <c r="U298" s="3009"/>
      <c r="V298" s="3009"/>
      <c r="W298" s="3009"/>
      <c r="X298" s="3009"/>
      <c r="Y298" s="3009"/>
      <c r="Z298" s="3009"/>
      <c r="AA298" s="3009"/>
      <c r="AB298" s="3009"/>
      <c r="AC298" s="3009"/>
      <c r="AD298" s="3010"/>
      <c r="AE298" s="1001"/>
      <c r="AF298" s="1001"/>
      <c r="AG298" s="1001"/>
      <c r="AH298" s="1001"/>
      <c r="AI298" s="1001"/>
      <c r="AJ298" s="1001"/>
      <c r="AK298" s="1001"/>
      <c r="AL298" s="949"/>
      <c r="AM298" s="949"/>
      <c r="AN298" s="110"/>
      <c r="AO298" s="51"/>
      <c r="AP298" s="126"/>
      <c r="AR298" s="21"/>
    </row>
    <row r="299" spans="1:60">
      <c r="A299" s="983"/>
      <c r="B299" s="867"/>
      <c r="C299" s="1653"/>
      <c r="D299" s="1653"/>
      <c r="E299" s="863"/>
      <c r="F299" s="3008"/>
      <c r="G299" s="3009"/>
      <c r="H299" s="3009"/>
      <c r="I299" s="3009"/>
      <c r="J299" s="3009"/>
      <c r="K299" s="3009"/>
      <c r="L299" s="3009"/>
      <c r="M299" s="3009"/>
      <c r="N299" s="3009"/>
      <c r="O299" s="3009"/>
      <c r="P299" s="3009"/>
      <c r="Q299" s="3009"/>
      <c r="R299" s="3009"/>
      <c r="S299" s="3009"/>
      <c r="T299" s="3009"/>
      <c r="U299" s="3009"/>
      <c r="V299" s="3009"/>
      <c r="W299" s="3009"/>
      <c r="X299" s="3009"/>
      <c r="Y299" s="3009"/>
      <c r="Z299" s="3009"/>
      <c r="AA299" s="3009"/>
      <c r="AB299" s="3009"/>
      <c r="AC299" s="3009"/>
      <c r="AD299" s="3010"/>
      <c r="AE299" s="867"/>
      <c r="AF299" s="867"/>
      <c r="AG299" s="909"/>
      <c r="AH299" s="867"/>
      <c r="AI299" s="867"/>
      <c r="AJ299" s="949"/>
      <c r="AK299" s="949"/>
      <c r="AL299" s="949"/>
      <c r="AM299" s="949"/>
      <c r="AN299" s="110"/>
      <c r="AO299" s="51"/>
      <c r="AP299" s="126"/>
      <c r="AR299" s="21"/>
    </row>
    <row r="300" spans="1:60">
      <c r="A300" s="983"/>
      <c r="B300" s="867"/>
      <c r="C300" s="1653"/>
      <c r="D300" s="1653"/>
      <c r="E300" s="863"/>
      <c r="F300" s="3008"/>
      <c r="G300" s="3009"/>
      <c r="H300" s="3009"/>
      <c r="I300" s="3009"/>
      <c r="J300" s="3009"/>
      <c r="K300" s="3009"/>
      <c r="L300" s="3009"/>
      <c r="M300" s="3009"/>
      <c r="N300" s="3009"/>
      <c r="O300" s="3009"/>
      <c r="P300" s="3009"/>
      <c r="Q300" s="3009"/>
      <c r="R300" s="3009"/>
      <c r="S300" s="3009"/>
      <c r="T300" s="3009"/>
      <c r="U300" s="3009"/>
      <c r="V300" s="3009"/>
      <c r="W300" s="3009"/>
      <c r="X300" s="3009"/>
      <c r="Y300" s="3009"/>
      <c r="Z300" s="3009"/>
      <c r="AA300" s="3009"/>
      <c r="AB300" s="3009"/>
      <c r="AC300" s="3009"/>
      <c r="AD300" s="3010"/>
      <c r="AE300" s="867"/>
      <c r="AF300" s="867"/>
      <c r="AG300" s="909"/>
      <c r="AH300" s="867"/>
      <c r="AI300" s="867"/>
      <c r="AJ300" s="949"/>
      <c r="AK300" s="949"/>
      <c r="AL300" s="949"/>
      <c r="AM300" s="949"/>
      <c r="AN300" s="110"/>
      <c r="AO300" s="51"/>
      <c r="AP300" s="126"/>
      <c r="AR300" s="21"/>
    </row>
    <row r="301" spans="1:60">
      <c r="A301" s="983"/>
      <c r="B301" s="867"/>
      <c r="C301" s="1653"/>
      <c r="D301" s="1653"/>
      <c r="E301" s="863"/>
      <c r="F301" s="3008"/>
      <c r="G301" s="3009"/>
      <c r="H301" s="3009"/>
      <c r="I301" s="3009"/>
      <c r="J301" s="3009"/>
      <c r="K301" s="3009"/>
      <c r="L301" s="3009"/>
      <c r="M301" s="3009"/>
      <c r="N301" s="3009"/>
      <c r="O301" s="3009"/>
      <c r="P301" s="3009"/>
      <c r="Q301" s="3009"/>
      <c r="R301" s="3009"/>
      <c r="S301" s="3009"/>
      <c r="T301" s="3009"/>
      <c r="U301" s="3009"/>
      <c r="V301" s="3009"/>
      <c r="W301" s="3009"/>
      <c r="X301" s="3009"/>
      <c r="Y301" s="3009"/>
      <c r="Z301" s="3009"/>
      <c r="AA301" s="3009"/>
      <c r="AB301" s="3009"/>
      <c r="AC301" s="3009"/>
      <c r="AD301" s="3010"/>
      <c r="AE301" s="867"/>
      <c r="AF301" s="867"/>
      <c r="AG301" s="909"/>
      <c r="AH301" s="867"/>
      <c r="AI301" s="867"/>
      <c r="AJ301" s="949"/>
      <c r="AK301" s="949"/>
      <c r="AL301" s="949"/>
      <c r="AM301" s="949"/>
      <c r="AN301" s="110"/>
      <c r="AO301" s="51"/>
      <c r="AP301" s="126"/>
      <c r="AR301" s="21"/>
    </row>
    <row r="302" spans="1:60">
      <c r="A302" s="983"/>
      <c r="B302" s="867"/>
      <c r="C302" s="1653"/>
      <c r="D302" s="1653"/>
      <c r="E302" s="863"/>
      <c r="F302" s="3011"/>
      <c r="G302" s="3012"/>
      <c r="H302" s="3012"/>
      <c r="I302" s="3012"/>
      <c r="J302" s="3012"/>
      <c r="K302" s="3012"/>
      <c r="L302" s="3012"/>
      <c r="M302" s="3012"/>
      <c r="N302" s="3012"/>
      <c r="O302" s="3012"/>
      <c r="P302" s="3012"/>
      <c r="Q302" s="3012"/>
      <c r="R302" s="3012"/>
      <c r="S302" s="3012"/>
      <c r="T302" s="3012"/>
      <c r="U302" s="3012"/>
      <c r="V302" s="3012"/>
      <c r="W302" s="3012"/>
      <c r="X302" s="3012"/>
      <c r="Y302" s="3012"/>
      <c r="Z302" s="3012"/>
      <c r="AA302" s="3012"/>
      <c r="AB302" s="3012"/>
      <c r="AC302" s="3012"/>
      <c r="AD302" s="3013"/>
      <c r="AE302" s="867"/>
      <c r="AF302" s="867"/>
      <c r="AG302" s="909"/>
      <c r="AH302" s="867"/>
      <c r="AI302" s="867"/>
      <c r="AJ302" s="948"/>
      <c r="AK302" s="949"/>
      <c r="AL302" s="949"/>
      <c r="AM302" s="949"/>
      <c r="AN302" s="110"/>
      <c r="AO302" s="51"/>
      <c r="AP302" s="126"/>
      <c r="AR302" s="21"/>
    </row>
    <row r="303" spans="1:60" s="56" customFormat="1">
      <c r="A303" s="983"/>
      <c r="B303" s="867"/>
      <c r="C303" s="1653"/>
      <c r="D303" s="1653"/>
      <c r="E303" s="863"/>
      <c r="F303" s="1616"/>
      <c r="G303" s="1001"/>
      <c r="H303" s="1001"/>
      <c r="I303" s="1001"/>
      <c r="J303" s="1001"/>
      <c r="K303" s="1001"/>
      <c r="L303" s="1001"/>
      <c r="M303" s="1001"/>
      <c r="N303" s="1001"/>
      <c r="O303" s="1001"/>
      <c r="P303" s="1001"/>
      <c r="Q303" s="1001"/>
      <c r="R303" s="1001"/>
      <c r="S303" s="1001"/>
      <c r="T303" s="1001"/>
      <c r="U303" s="1001"/>
      <c r="V303" s="1001"/>
      <c r="W303" s="1001"/>
      <c r="X303" s="1001"/>
      <c r="Y303" s="1001"/>
      <c r="Z303" s="1001"/>
      <c r="AA303" s="1001"/>
      <c r="AB303" s="1001"/>
      <c r="AC303" s="1001"/>
      <c r="AD303" s="1018"/>
      <c r="AE303" s="867"/>
      <c r="AF303" s="867"/>
      <c r="AG303" s="909"/>
      <c r="AH303" s="867"/>
      <c r="AI303" s="867"/>
      <c r="AJ303" s="949"/>
      <c r="AK303" s="949"/>
      <c r="AL303" s="949"/>
      <c r="AM303" s="949"/>
      <c r="AN303" s="1617"/>
      <c r="AP303" s="1618"/>
      <c r="AR303" s="1619"/>
      <c r="BD303" s="55"/>
      <c r="BE303" s="55"/>
      <c r="BF303" s="55"/>
      <c r="BG303" s="55"/>
      <c r="BH303" s="55"/>
    </row>
    <row r="304" spans="1:60">
      <c r="A304" s="983"/>
      <c r="B304" s="867"/>
      <c r="C304" s="1653"/>
      <c r="D304" s="1653"/>
      <c r="E304" s="863"/>
      <c r="F304" s="1019" t="s">
        <v>2248</v>
      </c>
      <c r="G304" s="867"/>
      <c r="H304" s="867"/>
      <c r="I304" s="867"/>
      <c r="J304" s="867"/>
      <c r="K304" s="867"/>
      <c r="L304" s="867"/>
      <c r="M304" s="867"/>
      <c r="N304" s="867"/>
      <c r="O304" s="867"/>
      <c r="P304" s="867"/>
      <c r="Q304" s="867"/>
      <c r="R304" s="867"/>
      <c r="S304" s="867"/>
      <c r="T304" s="867"/>
      <c r="U304" s="867"/>
      <c r="V304" s="867"/>
      <c r="W304" s="867"/>
      <c r="X304" s="867"/>
      <c r="Y304" s="867"/>
      <c r="Z304" s="867"/>
      <c r="AA304" s="867"/>
      <c r="AB304" s="867"/>
      <c r="AC304" s="867"/>
      <c r="AD304" s="1020"/>
      <c r="AE304" s="867"/>
      <c r="AF304" s="867"/>
      <c r="AG304" s="909"/>
      <c r="AH304" s="867"/>
      <c r="AI304" s="867"/>
      <c r="AJ304" s="866"/>
      <c r="AK304" s="949"/>
      <c r="AL304" s="949"/>
      <c r="AM304" s="949"/>
      <c r="AN304" s="110"/>
      <c r="AO304" s="51"/>
      <c r="AP304" s="126"/>
      <c r="AR304" s="21"/>
    </row>
    <row r="305" spans="1:60">
      <c r="A305" s="983"/>
      <c r="B305" s="867"/>
      <c r="C305" s="1653"/>
      <c r="D305" s="1653"/>
      <c r="E305" s="863"/>
      <c r="F305" s="1019"/>
      <c r="G305" s="867"/>
      <c r="H305" s="867"/>
      <c r="I305" s="867"/>
      <c r="J305" s="867"/>
      <c r="K305" s="867"/>
      <c r="L305" s="867"/>
      <c r="M305" s="867"/>
      <c r="N305" s="867"/>
      <c r="O305" s="867"/>
      <c r="P305" s="867"/>
      <c r="Q305" s="867"/>
      <c r="R305" s="867"/>
      <c r="S305" s="867"/>
      <c r="T305" s="867"/>
      <c r="U305" s="867"/>
      <c r="V305" s="867"/>
      <c r="W305" s="867"/>
      <c r="X305" s="867"/>
      <c r="Y305" s="867"/>
      <c r="Z305" s="867"/>
      <c r="AA305" s="867"/>
      <c r="AB305" s="867"/>
      <c r="AC305" s="867"/>
      <c r="AD305" s="1020"/>
      <c r="AE305" s="867"/>
      <c r="AF305" s="867"/>
      <c r="AG305" s="909"/>
      <c r="AH305" s="867"/>
      <c r="AI305" s="867"/>
      <c r="AJ305" s="866"/>
      <c r="AK305" s="949"/>
      <c r="AL305" s="949"/>
      <c r="AM305" s="949"/>
      <c r="AN305" s="110"/>
      <c r="AO305" s="51"/>
      <c r="AP305" s="873" t="s">
        <v>1388</v>
      </c>
      <c r="AR305" s="21"/>
    </row>
    <row r="306" spans="1:60" ht="12.75" customHeight="1">
      <c r="A306" s="983"/>
      <c r="B306" s="867"/>
      <c r="C306" s="1653"/>
      <c r="D306" s="1653"/>
      <c r="E306" s="863"/>
      <c r="F306" s="1021"/>
      <c r="G306" s="892" t="s">
        <v>727</v>
      </c>
      <c r="H306" s="892"/>
      <c r="I306" s="3014" t="s">
        <v>1388</v>
      </c>
      <c r="J306" s="3014"/>
      <c r="K306" s="3014"/>
      <c r="L306" s="3014"/>
      <c r="M306" s="3014"/>
      <c r="N306" s="3014"/>
      <c r="O306" s="3014"/>
      <c r="P306" s="3014"/>
      <c r="Q306" s="3014"/>
      <c r="R306" s="3014"/>
      <c r="S306" s="3014"/>
      <c r="T306" s="3014"/>
      <c r="U306" s="3014"/>
      <c r="V306" s="3014"/>
      <c r="W306" s="3014"/>
      <c r="X306" s="3014"/>
      <c r="Y306" s="3014"/>
      <c r="Z306" s="3014"/>
      <c r="AA306" s="3014"/>
      <c r="AB306" s="3014"/>
      <c r="AC306" s="3014"/>
      <c r="AD306" s="3015"/>
      <c r="AE306" s="867"/>
      <c r="AF306" s="867"/>
      <c r="AG306" s="909"/>
      <c r="AH306" s="867"/>
      <c r="AI306" s="867"/>
      <c r="AJ306" s="866"/>
      <c r="AK306" s="949"/>
      <c r="AL306" s="949"/>
      <c r="AM306" s="949"/>
      <c r="AN306" s="110"/>
      <c r="AO306" s="51"/>
      <c r="AP306" s="873" t="s">
        <v>2007</v>
      </c>
      <c r="AR306" s="21"/>
    </row>
    <row r="307" spans="1:60">
      <c r="A307" s="983"/>
      <c r="B307" s="867"/>
      <c r="C307" s="1653"/>
      <c r="D307" s="1653"/>
      <c r="E307" s="863"/>
      <c r="F307" s="1021"/>
      <c r="G307" s="892"/>
      <c r="H307" s="892"/>
      <c r="I307" s="3014"/>
      <c r="J307" s="3014"/>
      <c r="K307" s="3014"/>
      <c r="L307" s="3014"/>
      <c r="M307" s="3014"/>
      <c r="N307" s="3014"/>
      <c r="O307" s="3014"/>
      <c r="P307" s="3014"/>
      <c r="Q307" s="3014"/>
      <c r="R307" s="3014"/>
      <c r="S307" s="3014"/>
      <c r="T307" s="3014"/>
      <c r="U307" s="3014"/>
      <c r="V307" s="3014"/>
      <c r="W307" s="3014"/>
      <c r="X307" s="3014"/>
      <c r="Y307" s="3014"/>
      <c r="Z307" s="3014"/>
      <c r="AA307" s="3014"/>
      <c r="AB307" s="3014"/>
      <c r="AC307" s="3014"/>
      <c r="AD307" s="3015"/>
      <c r="AE307" s="867"/>
      <c r="AF307" s="867"/>
      <c r="AG307" s="909"/>
      <c r="AH307" s="867"/>
      <c r="AI307" s="867"/>
      <c r="AJ307" s="866"/>
      <c r="AK307" s="949"/>
      <c r="AL307" s="949"/>
      <c r="AM307" s="949"/>
      <c r="AN307" s="110"/>
      <c r="AO307" s="51"/>
      <c r="AP307" s="873" t="s">
        <v>2250</v>
      </c>
      <c r="AR307" s="21"/>
    </row>
    <row r="308" spans="1:60">
      <c r="A308" s="983"/>
      <c r="B308" s="867"/>
      <c r="C308" s="1016"/>
      <c r="D308" s="1016"/>
      <c r="E308" s="863"/>
      <c r="F308" s="1021"/>
      <c r="G308" s="892"/>
      <c r="H308" s="892"/>
      <c r="I308" s="3014"/>
      <c r="J308" s="3014"/>
      <c r="K308" s="3014"/>
      <c r="L308" s="3014"/>
      <c r="M308" s="3014"/>
      <c r="N308" s="3014"/>
      <c r="O308" s="3014"/>
      <c r="P308" s="3014"/>
      <c r="Q308" s="3014"/>
      <c r="R308" s="3014"/>
      <c r="S308" s="3014"/>
      <c r="T308" s="3014"/>
      <c r="U308" s="3014"/>
      <c r="V308" s="3014"/>
      <c r="W308" s="3014"/>
      <c r="X308" s="3014"/>
      <c r="Y308" s="3014"/>
      <c r="Z308" s="3014"/>
      <c r="AA308" s="3014"/>
      <c r="AB308" s="3014"/>
      <c r="AC308" s="3014"/>
      <c r="AD308" s="3015"/>
      <c r="AE308" s="867"/>
      <c r="AF308" s="867"/>
      <c r="AG308" s="909"/>
      <c r="AH308" s="867"/>
      <c r="AI308" s="867"/>
      <c r="AJ308" s="866"/>
      <c r="AK308" s="949"/>
      <c r="AL308" s="949"/>
      <c r="AM308" s="949"/>
      <c r="AN308" s="110"/>
      <c r="AO308" s="51"/>
      <c r="AP308" s="873" t="s">
        <v>2252</v>
      </c>
      <c r="AR308" s="21"/>
    </row>
    <row r="309" spans="1:60">
      <c r="A309" s="983"/>
      <c r="B309" s="867"/>
      <c r="C309" s="1016"/>
      <c r="D309" s="1016"/>
      <c r="E309" s="863"/>
      <c r="F309" s="1019"/>
      <c r="G309" s="867"/>
      <c r="H309" s="867"/>
      <c r="I309" s="3016"/>
      <c r="J309" s="3016"/>
      <c r="K309" s="3016"/>
      <c r="L309" s="3016"/>
      <c r="M309" s="3016"/>
      <c r="N309" s="3016"/>
      <c r="O309" s="3016"/>
      <c r="P309" s="3016"/>
      <c r="Q309" s="3016"/>
      <c r="R309" s="3016"/>
      <c r="S309" s="3016"/>
      <c r="T309" s="3016"/>
      <c r="U309" s="3016"/>
      <c r="V309" s="3016"/>
      <c r="W309" s="3016"/>
      <c r="X309" s="3016"/>
      <c r="Y309" s="3016"/>
      <c r="Z309" s="3016"/>
      <c r="AA309" s="3016"/>
      <c r="AB309" s="3016"/>
      <c r="AC309" s="3016"/>
      <c r="AD309" s="3017"/>
      <c r="AE309" s="867"/>
      <c r="AF309" s="867"/>
      <c r="AG309" s="909"/>
      <c r="AH309" s="867"/>
      <c r="AI309" s="867"/>
      <c r="AJ309" s="866"/>
      <c r="AK309" s="949"/>
      <c r="AL309" s="949"/>
      <c r="AM309" s="949"/>
      <c r="AN309" s="110"/>
      <c r="AO309" s="51"/>
      <c r="AP309" s="873" t="s">
        <v>2251</v>
      </c>
      <c r="AR309" s="21"/>
    </row>
    <row r="310" spans="1:60">
      <c r="A310" s="983"/>
      <c r="B310" s="867"/>
      <c r="C310" s="1016"/>
      <c r="D310" s="1016"/>
      <c r="E310" s="863"/>
      <c r="F310" s="1019"/>
      <c r="G310" s="867"/>
      <c r="H310" s="867"/>
      <c r="I310" s="867"/>
      <c r="J310" s="867"/>
      <c r="K310" s="867"/>
      <c r="L310" s="867"/>
      <c r="M310" s="867"/>
      <c r="N310" s="867"/>
      <c r="O310" s="867"/>
      <c r="P310" s="867"/>
      <c r="Q310" s="867"/>
      <c r="R310" s="867"/>
      <c r="S310" s="867"/>
      <c r="T310" s="867"/>
      <c r="U310" s="867"/>
      <c r="V310" s="867"/>
      <c r="W310" s="867"/>
      <c r="X310" s="867"/>
      <c r="Y310" s="867"/>
      <c r="Z310" s="867"/>
      <c r="AA310" s="867"/>
      <c r="AB310" s="867"/>
      <c r="AC310" s="867"/>
      <c r="AD310" s="1020"/>
      <c r="AE310" s="867"/>
      <c r="AF310" s="867"/>
      <c r="AG310" s="909"/>
      <c r="AH310" s="867"/>
      <c r="AI310" s="867"/>
      <c r="AJ310" s="866"/>
      <c r="AK310" s="949"/>
      <c r="AL310" s="949"/>
      <c r="AM310" s="949"/>
      <c r="AN310" s="110"/>
      <c r="AO310" s="51"/>
      <c r="AP310" s="126"/>
      <c r="AR310" s="21"/>
    </row>
    <row r="311" spans="1:60">
      <c r="A311" s="983"/>
      <c r="B311" s="867"/>
      <c r="C311" s="1016"/>
      <c r="D311" s="1016"/>
      <c r="E311" s="863"/>
      <c r="F311" s="1019"/>
      <c r="G311" s="867" t="s">
        <v>544</v>
      </c>
      <c r="H311" s="867"/>
      <c r="I311" s="3014" t="s">
        <v>1388</v>
      </c>
      <c r="J311" s="3014"/>
      <c r="K311" s="3014"/>
      <c r="L311" s="3014"/>
      <c r="M311" s="3014"/>
      <c r="N311" s="3014"/>
      <c r="O311" s="3014"/>
      <c r="P311" s="3014"/>
      <c r="Q311" s="3014"/>
      <c r="R311" s="3014"/>
      <c r="S311" s="3014"/>
      <c r="T311" s="3014"/>
      <c r="U311" s="3014"/>
      <c r="V311" s="3014"/>
      <c r="W311" s="3014"/>
      <c r="X311" s="3014"/>
      <c r="Y311" s="3014"/>
      <c r="Z311" s="3014"/>
      <c r="AA311" s="3014"/>
      <c r="AB311" s="3014"/>
      <c r="AC311" s="3014"/>
      <c r="AD311" s="3015"/>
      <c r="AE311" s="867"/>
      <c r="AF311" s="867"/>
      <c r="AG311" s="909"/>
      <c r="AH311" s="867"/>
      <c r="AI311" s="867"/>
      <c r="AJ311" s="866"/>
      <c r="AK311" s="949"/>
      <c r="AL311" s="949"/>
      <c r="AM311" s="949"/>
      <c r="AN311" s="110"/>
      <c r="AO311" s="51"/>
      <c r="AR311" s="21"/>
    </row>
    <row r="312" spans="1:60">
      <c r="A312" s="983"/>
      <c r="B312" s="867"/>
      <c r="C312" s="1016"/>
      <c r="D312" s="1016"/>
      <c r="E312" s="863"/>
      <c r="F312" s="1019"/>
      <c r="G312" s="867"/>
      <c r="H312" s="867"/>
      <c r="I312" s="3014"/>
      <c r="J312" s="3014"/>
      <c r="K312" s="3014"/>
      <c r="L312" s="3014"/>
      <c r="M312" s="3014"/>
      <c r="N312" s="3014"/>
      <c r="O312" s="3014"/>
      <c r="P312" s="3014"/>
      <c r="Q312" s="3014"/>
      <c r="R312" s="3014"/>
      <c r="S312" s="3014"/>
      <c r="T312" s="3014"/>
      <c r="U312" s="3014"/>
      <c r="V312" s="3014"/>
      <c r="W312" s="3014"/>
      <c r="X312" s="3014"/>
      <c r="Y312" s="3014"/>
      <c r="Z312" s="3014"/>
      <c r="AA312" s="3014"/>
      <c r="AB312" s="3014"/>
      <c r="AC312" s="3014"/>
      <c r="AD312" s="3015"/>
      <c r="AE312" s="867"/>
      <c r="AF312" s="867"/>
      <c r="AG312" s="909"/>
      <c r="AH312" s="867"/>
      <c r="AI312" s="867"/>
      <c r="AJ312" s="866"/>
      <c r="AK312" s="949"/>
      <c r="AL312" s="949"/>
      <c r="AM312" s="949"/>
      <c r="AN312" s="110"/>
      <c r="AO312" s="51"/>
      <c r="AP312" s="873" t="s">
        <v>1388</v>
      </c>
      <c r="AR312" s="21"/>
    </row>
    <row r="313" spans="1:60">
      <c r="A313" s="983"/>
      <c r="B313" s="867"/>
      <c r="C313" s="1016"/>
      <c r="D313" s="1016"/>
      <c r="E313" s="863"/>
      <c r="F313" s="1022"/>
      <c r="G313" s="1023"/>
      <c r="H313" s="1023"/>
      <c r="I313" s="3016"/>
      <c r="J313" s="3016"/>
      <c r="K313" s="3016"/>
      <c r="L313" s="3016"/>
      <c r="M313" s="3016"/>
      <c r="N313" s="3016"/>
      <c r="O313" s="3016"/>
      <c r="P313" s="3016"/>
      <c r="Q313" s="3016"/>
      <c r="R313" s="3016"/>
      <c r="S313" s="3016"/>
      <c r="T313" s="3016"/>
      <c r="U313" s="3016"/>
      <c r="V313" s="3016"/>
      <c r="W313" s="3016"/>
      <c r="X313" s="3016"/>
      <c r="Y313" s="3016"/>
      <c r="Z313" s="3016"/>
      <c r="AA313" s="3016"/>
      <c r="AB313" s="3016"/>
      <c r="AC313" s="3016"/>
      <c r="AD313" s="3017"/>
      <c r="AE313" s="867"/>
      <c r="AF313" s="867"/>
      <c r="AG313" s="909"/>
      <c r="AH313" s="867"/>
      <c r="AI313" s="867"/>
      <c r="AJ313" s="866"/>
      <c r="AK313" s="949"/>
      <c r="AL313" s="949"/>
      <c r="AM313" s="949"/>
      <c r="AN313" s="110"/>
      <c r="AO313" s="51"/>
      <c r="AP313" s="873" t="s">
        <v>1682</v>
      </c>
      <c r="AR313" s="21"/>
    </row>
    <row r="314" spans="1:60">
      <c r="A314" s="983"/>
      <c r="B314" s="867"/>
      <c r="C314" s="866"/>
      <c r="D314" s="867"/>
      <c r="E314" s="866"/>
      <c r="F314" s="958"/>
      <c r="G314" s="867"/>
      <c r="H314" s="867"/>
      <c r="I314" s="867"/>
      <c r="J314" s="867"/>
      <c r="K314" s="867"/>
      <c r="L314" s="867"/>
      <c r="M314" s="867"/>
      <c r="N314" s="867"/>
      <c r="O314" s="867"/>
      <c r="P314" s="867"/>
      <c r="Q314" s="867"/>
      <c r="R314" s="867"/>
      <c r="S314" s="867"/>
      <c r="T314" s="867"/>
      <c r="U314" s="867"/>
      <c r="V314" s="867"/>
      <c r="W314" s="867"/>
      <c r="X314" s="867"/>
      <c r="Y314" s="867"/>
      <c r="Z314" s="867"/>
      <c r="AA314" s="867"/>
      <c r="AB314" s="867"/>
      <c r="AC314" s="867"/>
      <c r="AD314" s="867"/>
      <c r="AE314" s="867"/>
      <c r="AF314" s="867"/>
      <c r="AG314" s="867"/>
      <c r="AH314" s="867"/>
      <c r="AI314" s="867"/>
      <c r="AJ314" s="866"/>
      <c r="AK314" s="949"/>
      <c r="AL314" s="949"/>
      <c r="AM314" s="949"/>
      <c r="AN314" s="110"/>
      <c r="AO314" s="51"/>
      <c r="AP314" s="873" t="s">
        <v>2008</v>
      </c>
    </row>
    <row r="315" spans="1:60" ht="12.75" customHeight="1">
      <c r="A315" s="3004" t="s">
        <v>1683</v>
      </c>
      <c r="B315" s="3004"/>
      <c r="C315" s="2972" t="s">
        <v>628</v>
      </c>
      <c r="D315" s="2972"/>
      <c r="E315" s="863"/>
      <c r="F315" s="2905" t="s">
        <v>1684</v>
      </c>
      <c r="G315" s="2906"/>
      <c r="H315" s="2906"/>
      <c r="I315" s="2906"/>
      <c r="J315" s="2906"/>
      <c r="K315" s="2906"/>
      <c r="L315" s="2906"/>
      <c r="M315" s="2906"/>
      <c r="N315" s="2906"/>
      <c r="O315" s="2906"/>
      <c r="P315" s="2906"/>
      <c r="Q315" s="2906"/>
      <c r="R315" s="2906"/>
      <c r="S315" s="2906"/>
      <c r="T315" s="2906"/>
      <c r="U315" s="2906"/>
      <c r="V315" s="2906"/>
      <c r="W315" s="2906"/>
      <c r="X315" s="2906"/>
      <c r="Y315" s="2906"/>
      <c r="Z315" s="2906"/>
      <c r="AA315" s="2906"/>
      <c r="AB315" s="2906"/>
      <c r="AC315" s="2906"/>
      <c r="AD315" s="2907"/>
      <c r="AE315" s="867"/>
      <c r="AF315" s="867"/>
      <c r="AG315" s="909" t="s">
        <v>1676</v>
      </c>
      <c r="AH315" s="867"/>
      <c r="AI315" s="867"/>
      <c r="AJ315" s="866"/>
      <c r="AK315" s="949"/>
      <c r="AL315" s="949"/>
      <c r="AM315" s="949"/>
      <c r="AN315" s="110"/>
      <c r="AO315" s="51"/>
    </row>
    <row r="316" spans="1:60" ht="15" customHeight="1">
      <c r="A316" s="983"/>
      <c r="B316" s="867"/>
      <c r="C316" s="867"/>
      <c r="D316" s="867"/>
      <c r="E316" s="867"/>
      <c r="F316" s="2911"/>
      <c r="G316" s="2912"/>
      <c r="H316" s="2912"/>
      <c r="I316" s="2912"/>
      <c r="J316" s="2912"/>
      <c r="K316" s="2912"/>
      <c r="L316" s="2912"/>
      <c r="M316" s="2912"/>
      <c r="N316" s="2912"/>
      <c r="O316" s="2912"/>
      <c r="P316" s="2912"/>
      <c r="Q316" s="2912"/>
      <c r="R316" s="2912"/>
      <c r="S316" s="2912"/>
      <c r="T316" s="2912"/>
      <c r="U316" s="2912"/>
      <c r="V316" s="2912"/>
      <c r="W316" s="2912"/>
      <c r="X316" s="2912"/>
      <c r="Y316" s="2912"/>
      <c r="Z316" s="2912"/>
      <c r="AA316" s="2912"/>
      <c r="AB316" s="2912"/>
      <c r="AC316" s="2912"/>
      <c r="AD316" s="2913"/>
      <c r="AE316" s="867"/>
      <c r="AF316" s="867"/>
      <c r="AG316" s="867"/>
      <c r="AH316" s="867"/>
      <c r="AI316" s="867"/>
      <c r="AJ316" s="866"/>
      <c r="AK316" s="949"/>
      <c r="AL316" s="949"/>
      <c r="AM316" s="949"/>
      <c r="AN316" s="110"/>
      <c r="AO316" s="51"/>
    </row>
    <row r="317" spans="1:60" ht="15" customHeight="1">
      <c r="A317" s="983"/>
      <c r="B317" s="867"/>
      <c r="C317" s="867"/>
      <c r="D317" s="867"/>
      <c r="E317" s="867"/>
      <c r="F317" s="2911"/>
      <c r="G317" s="2912"/>
      <c r="H317" s="2912"/>
      <c r="I317" s="2912"/>
      <c r="J317" s="2912"/>
      <c r="K317" s="2912"/>
      <c r="L317" s="2912"/>
      <c r="M317" s="2912"/>
      <c r="N317" s="2912"/>
      <c r="O317" s="2912"/>
      <c r="P317" s="2912"/>
      <c r="Q317" s="2912"/>
      <c r="R317" s="2912"/>
      <c r="S317" s="2912"/>
      <c r="T317" s="2912"/>
      <c r="U317" s="2912"/>
      <c r="V317" s="2912"/>
      <c r="W317" s="2912"/>
      <c r="X317" s="2912"/>
      <c r="Y317" s="2912"/>
      <c r="Z317" s="2912"/>
      <c r="AA317" s="2912"/>
      <c r="AB317" s="2912"/>
      <c r="AC317" s="2912"/>
      <c r="AD317" s="2913"/>
      <c r="AE317" s="867"/>
      <c r="AF317" s="867"/>
      <c r="AG317" s="867"/>
      <c r="AH317" s="867"/>
      <c r="AI317" s="867"/>
      <c r="AJ317" s="866"/>
      <c r="AK317" s="949"/>
      <c r="AL317" s="949"/>
      <c r="AM317" s="1024"/>
      <c r="AN317" s="112"/>
      <c r="AO317" s="51"/>
    </row>
    <row r="318" spans="1:60" s="985" customFormat="1">
      <c r="A318" s="983"/>
      <c r="B318" s="867"/>
      <c r="C318" s="949"/>
      <c r="D318" s="867"/>
      <c r="E318" s="949"/>
      <c r="F318" s="1025" t="s">
        <v>1685</v>
      </c>
      <c r="G318" s="1026"/>
      <c r="H318" s="1026"/>
      <c r="I318" s="1026"/>
      <c r="J318" s="1026"/>
      <c r="K318" s="1026"/>
      <c r="L318" s="1026"/>
      <c r="M318" s="1026"/>
      <c r="N318" s="1026"/>
      <c r="O318" s="1026"/>
      <c r="P318" s="1026"/>
      <c r="Q318" s="1026"/>
      <c r="R318" s="1026"/>
      <c r="S318" s="1026"/>
      <c r="T318" s="1026"/>
      <c r="U318" s="1026"/>
      <c r="V318" s="1026"/>
      <c r="W318" s="1026"/>
      <c r="X318" s="1026"/>
      <c r="Y318" s="1026"/>
      <c r="Z318" s="1026"/>
      <c r="AA318" s="1026"/>
      <c r="AB318" s="1026"/>
      <c r="AC318" s="1026"/>
      <c r="AD318" s="1027"/>
      <c r="AE318" s="867"/>
      <c r="AF318" s="867"/>
      <c r="AG318" s="867"/>
      <c r="AH318" s="867"/>
      <c r="AI318" s="867"/>
      <c r="AJ318" s="949"/>
      <c r="AK318" s="949"/>
      <c r="AL318" s="949"/>
      <c r="AM318" s="1024"/>
      <c r="AN318" s="1028"/>
      <c r="AO318" s="1028"/>
      <c r="BD318" s="987"/>
      <c r="BE318" s="987"/>
      <c r="BF318" s="987"/>
      <c r="BG318" s="987"/>
      <c r="BH318" s="987"/>
    </row>
    <row r="319" spans="1:60" s="985" customFormat="1">
      <c r="A319" s="983"/>
      <c r="B319" s="867"/>
      <c r="C319" s="949"/>
      <c r="D319" s="867"/>
      <c r="E319" s="949"/>
      <c r="F319" s="1029"/>
      <c r="G319" s="1029"/>
      <c r="H319" s="1029"/>
      <c r="I319" s="1029"/>
      <c r="J319" s="1029"/>
      <c r="K319" s="1029"/>
      <c r="L319" s="1029"/>
      <c r="M319" s="1029"/>
      <c r="N319" s="1029"/>
      <c r="O319" s="1029"/>
      <c r="P319" s="1029"/>
      <c r="Q319" s="1029"/>
      <c r="R319" s="1029"/>
      <c r="S319" s="1029"/>
      <c r="T319" s="1029"/>
      <c r="U319" s="1029"/>
      <c r="V319" s="1029"/>
      <c r="W319" s="1029"/>
      <c r="X319" s="1029"/>
      <c r="Y319" s="1029"/>
      <c r="Z319" s="1029"/>
      <c r="AA319" s="1029"/>
      <c r="AB319" s="1029"/>
      <c r="AC319" s="1029"/>
      <c r="AD319" s="1029"/>
      <c r="AE319" s="867"/>
      <c r="AF319" s="867"/>
      <c r="AG319" s="867"/>
      <c r="AH319" s="867"/>
      <c r="AI319" s="867"/>
      <c r="AJ319" s="949"/>
      <c r="AK319" s="949"/>
      <c r="AL319" s="949"/>
      <c r="AM319" s="1024"/>
      <c r="AN319" s="1028"/>
      <c r="AO319" s="1028"/>
      <c r="BD319" s="987"/>
      <c r="BE319" s="987"/>
      <c r="BF319" s="987"/>
      <c r="BG319" s="987"/>
      <c r="BH319" s="987"/>
    </row>
    <row r="320" spans="1:60" s="985" customFormat="1">
      <c r="A320" s="940"/>
      <c r="B320" s="1030"/>
      <c r="C320" s="1030"/>
      <c r="D320" s="1030"/>
      <c r="E320" s="1030"/>
      <c r="F320" s="1030"/>
      <c r="G320" s="1030"/>
      <c r="H320" s="1030"/>
      <c r="I320" s="1030"/>
      <c r="J320" s="1030"/>
      <c r="K320" s="1030"/>
      <c r="L320" s="1030"/>
      <c r="M320" s="1030"/>
      <c r="N320" s="1030"/>
      <c r="O320" s="1030"/>
      <c r="P320" s="1030"/>
      <c r="Q320" s="1030"/>
      <c r="R320" s="1030"/>
      <c r="S320" s="1030"/>
      <c r="T320" s="1030"/>
      <c r="U320" s="1030"/>
      <c r="V320" s="1030"/>
      <c r="W320" s="1030"/>
      <c r="X320" s="1030"/>
      <c r="Y320" s="1030"/>
      <c r="Z320" s="1030"/>
      <c r="AA320" s="1030"/>
      <c r="AB320" s="1030"/>
      <c r="AC320" s="1031"/>
      <c r="AD320" s="1030"/>
      <c r="AE320" s="941"/>
      <c r="AF320" s="941"/>
      <c r="AG320" s="941"/>
      <c r="AH320" s="941"/>
      <c r="AI320" s="882"/>
      <c r="AJ320" s="882" t="s">
        <v>1686</v>
      </c>
      <c r="AK320" s="2980">
        <f>AP279</f>
        <v>9</v>
      </c>
      <c r="AL320" s="2981"/>
      <c r="AM320" s="2982"/>
      <c r="AN320" s="1028"/>
      <c r="AO320" s="1028"/>
      <c r="BD320" s="987"/>
      <c r="BE320" s="987"/>
      <c r="BF320" s="987"/>
      <c r="BG320" s="987"/>
      <c r="BH320" s="987"/>
    </row>
    <row r="321" spans="1:42" s="949" customFormat="1" ht="12.75" customHeight="1">
      <c r="A321" s="946"/>
      <c r="B321" s="946"/>
      <c r="C321" s="946"/>
      <c r="D321" s="983"/>
      <c r="E321" s="983"/>
      <c r="AE321" s="946"/>
      <c r="AF321" s="946"/>
      <c r="AG321" s="946"/>
      <c r="AH321" s="946"/>
      <c r="AI321" s="946"/>
      <c r="AJ321" s="946"/>
      <c r="AK321" s="946"/>
      <c r="AL321" s="946"/>
      <c r="AM321" s="1024"/>
    </row>
    <row r="322" spans="1:42" s="866" customFormat="1" ht="12.75" customHeight="1">
      <c r="A322" s="1032"/>
      <c r="B322" s="1033"/>
      <c r="C322" s="1032"/>
      <c r="D322" s="1034"/>
      <c r="E322" s="1034"/>
      <c r="F322" s="1035"/>
      <c r="G322" s="1035"/>
      <c r="H322" s="1035"/>
      <c r="I322" s="1035"/>
      <c r="J322" s="1035"/>
      <c r="K322" s="1035"/>
      <c r="L322" s="1035"/>
      <c r="M322" s="1035"/>
      <c r="N322" s="1035"/>
      <c r="O322" s="1035"/>
      <c r="P322" s="1035"/>
      <c r="Q322" s="1035"/>
      <c r="R322" s="1035"/>
      <c r="S322" s="1035"/>
      <c r="T322" s="1035"/>
      <c r="U322" s="1035"/>
      <c r="V322" s="1035"/>
      <c r="W322" s="1035"/>
      <c r="X322" s="1035"/>
      <c r="Y322" s="1035"/>
      <c r="Z322" s="1035"/>
      <c r="AA322" s="1035"/>
      <c r="AB322" s="1035"/>
      <c r="AC322" s="1036"/>
      <c r="AD322" s="1036"/>
      <c r="AE322" s="1036"/>
      <c r="AF322" s="1033"/>
      <c r="AG322" s="1033"/>
      <c r="AH322" s="1033"/>
      <c r="AI322" s="1033"/>
      <c r="AJ322" s="1033"/>
      <c r="AK322" s="1033"/>
      <c r="AL322" s="1033"/>
      <c r="AM322" s="1037"/>
      <c r="AN322" s="923"/>
    </row>
    <row r="323" spans="1:42" s="866" customFormat="1" ht="12.75" customHeight="1">
      <c r="A323" s="1038"/>
      <c r="B323" s="855" t="s">
        <v>1687</v>
      </c>
      <c r="C323" s="950"/>
      <c r="D323" s="950"/>
      <c r="E323" s="950"/>
      <c r="F323" s="950"/>
      <c r="G323" s="950"/>
      <c r="H323" s="950"/>
      <c r="I323" s="950"/>
      <c r="J323" s="950"/>
      <c r="K323" s="950"/>
      <c r="L323" s="950"/>
      <c r="M323" s="950"/>
      <c r="N323" s="950"/>
      <c r="O323" s="950"/>
      <c r="P323" s="950"/>
      <c r="Q323" s="950"/>
      <c r="R323" s="950"/>
      <c r="S323" s="950"/>
      <c r="T323" s="950"/>
      <c r="U323" s="950"/>
      <c r="V323" s="950"/>
      <c r="W323" s="950"/>
      <c r="X323" s="950"/>
      <c r="Y323" s="950"/>
      <c r="Z323" s="950"/>
      <c r="AA323" s="950"/>
      <c r="AB323" s="950"/>
      <c r="AC323" s="950"/>
      <c r="AD323" s="950"/>
      <c r="AE323" s="2964" t="s">
        <v>1600</v>
      </c>
      <c r="AF323" s="2964"/>
      <c r="AG323" s="2964"/>
      <c r="AH323" s="2964"/>
      <c r="AI323" s="2964"/>
      <c r="AJ323" s="2964"/>
      <c r="AK323" s="2964"/>
      <c r="AL323" s="957"/>
      <c r="AM323" s="950"/>
      <c r="AN323" s="923"/>
    </row>
    <row r="324" spans="1:42" s="866" customFormat="1" ht="12.75" customHeight="1">
      <c r="C324" s="950"/>
      <c r="D324" s="950"/>
      <c r="E324" s="950"/>
      <c r="F324" s="950"/>
      <c r="G324" s="950"/>
      <c r="H324" s="950"/>
      <c r="I324" s="950"/>
      <c r="J324" s="950"/>
      <c r="K324" s="950"/>
      <c r="L324" s="950"/>
      <c r="M324" s="950"/>
      <c r="N324" s="950"/>
      <c r="O324" s="950"/>
      <c r="P324" s="950"/>
      <c r="Q324" s="950"/>
      <c r="R324" s="950"/>
      <c r="S324" s="950"/>
      <c r="T324" s="950"/>
      <c r="U324" s="950"/>
      <c r="V324" s="950"/>
      <c r="W324" s="950"/>
      <c r="X324" s="950"/>
      <c r="Y324" s="950"/>
      <c r="Z324" s="950"/>
      <c r="AA324" s="950"/>
      <c r="AB324" s="950"/>
      <c r="AC324" s="950"/>
      <c r="AD324" s="950"/>
      <c r="AE324" s="950"/>
      <c r="AF324" s="950"/>
      <c r="AG324" s="950"/>
      <c r="AH324" s="950"/>
      <c r="AI324" s="950"/>
      <c r="AJ324" s="950"/>
      <c r="AK324" s="950"/>
      <c r="AL324" s="950"/>
      <c r="AM324" s="950"/>
      <c r="AN324" s="923"/>
    </row>
    <row r="325" spans="1:42" s="866" customFormat="1" ht="12.75" customHeight="1">
      <c r="A325" s="950"/>
      <c r="B325" s="2999" t="s">
        <v>2210</v>
      </c>
      <c r="C325" s="2999"/>
      <c r="D325" s="2999"/>
      <c r="E325" s="2999"/>
      <c r="F325" s="2999"/>
      <c r="G325" s="2999"/>
      <c r="H325" s="2999"/>
      <c r="I325" s="2999"/>
      <c r="J325" s="2999"/>
      <c r="K325" s="2999"/>
      <c r="L325" s="2999"/>
      <c r="M325" s="2999"/>
      <c r="N325" s="2999"/>
      <c r="O325" s="2999"/>
      <c r="P325" s="2999"/>
      <c r="Q325" s="2999"/>
      <c r="R325" s="2999"/>
      <c r="S325" s="2999"/>
      <c r="T325" s="2999"/>
      <c r="U325" s="2999"/>
      <c r="V325" s="2999"/>
      <c r="W325" s="2999"/>
      <c r="X325" s="2999"/>
      <c r="Y325" s="2999"/>
      <c r="Z325" s="2999"/>
      <c r="AA325" s="2999"/>
      <c r="AB325" s="2999"/>
      <c r="AC325" s="2999"/>
      <c r="AD325" s="2999"/>
      <c r="AE325" s="2999"/>
      <c r="AF325" s="2999"/>
      <c r="AG325" s="2999"/>
      <c r="AH325" s="2999"/>
      <c r="AI325" s="2999"/>
      <c r="AJ325" s="2999"/>
      <c r="AK325" s="1001"/>
      <c r="AL325" s="890"/>
      <c r="AM325" s="950"/>
      <c r="AN325" s="923"/>
    </row>
    <row r="326" spans="1:42" s="866" customFormat="1" ht="12.75" customHeight="1">
      <c r="A326" s="950"/>
      <c r="B326" s="2999"/>
      <c r="C326" s="2999"/>
      <c r="D326" s="2999"/>
      <c r="E326" s="2999"/>
      <c r="F326" s="2999"/>
      <c r="G326" s="2999"/>
      <c r="H326" s="2999"/>
      <c r="I326" s="2999"/>
      <c r="J326" s="2999"/>
      <c r="K326" s="2999"/>
      <c r="L326" s="2999"/>
      <c r="M326" s="2999"/>
      <c r="N326" s="2999"/>
      <c r="O326" s="2999"/>
      <c r="P326" s="2999"/>
      <c r="Q326" s="2999"/>
      <c r="R326" s="2999"/>
      <c r="S326" s="2999"/>
      <c r="T326" s="2999"/>
      <c r="U326" s="2999"/>
      <c r="V326" s="2999"/>
      <c r="W326" s="2999"/>
      <c r="X326" s="2999"/>
      <c r="Y326" s="2999"/>
      <c r="Z326" s="2999"/>
      <c r="AA326" s="2999"/>
      <c r="AB326" s="2999"/>
      <c r="AC326" s="2999"/>
      <c r="AD326" s="2999"/>
      <c r="AE326" s="2999"/>
      <c r="AF326" s="2999"/>
      <c r="AG326" s="2999"/>
      <c r="AH326" s="2999"/>
      <c r="AI326" s="2999"/>
      <c r="AJ326" s="2999"/>
      <c r="AK326" s="1001"/>
      <c r="AL326" s="890"/>
      <c r="AM326" s="950"/>
      <c r="AN326" s="923"/>
    </row>
    <row r="327" spans="1:42" s="866" customFormat="1" ht="12.75" customHeight="1">
      <c r="A327" s="950"/>
      <c r="B327" s="2999"/>
      <c r="C327" s="2999"/>
      <c r="D327" s="2999"/>
      <c r="E327" s="2999"/>
      <c r="F327" s="2999"/>
      <c r="G327" s="2999"/>
      <c r="H327" s="2999"/>
      <c r="I327" s="2999"/>
      <c r="J327" s="2999"/>
      <c r="K327" s="2999"/>
      <c r="L327" s="2999"/>
      <c r="M327" s="2999"/>
      <c r="N327" s="2999"/>
      <c r="O327" s="2999"/>
      <c r="P327" s="2999"/>
      <c r="Q327" s="2999"/>
      <c r="R327" s="2999"/>
      <c r="S327" s="2999"/>
      <c r="T327" s="2999"/>
      <c r="U327" s="2999"/>
      <c r="V327" s="2999"/>
      <c r="W327" s="2999"/>
      <c r="X327" s="2999"/>
      <c r="Y327" s="2999"/>
      <c r="Z327" s="2999"/>
      <c r="AA327" s="2999"/>
      <c r="AB327" s="2999"/>
      <c r="AC327" s="2999"/>
      <c r="AD327" s="2999"/>
      <c r="AE327" s="2999"/>
      <c r="AF327" s="2999"/>
      <c r="AG327" s="2999"/>
      <c r="AH327" s="2999"/>
      <c r="AI327" s="2999"/>
      <c r="AJ327" s="2999"/>
      <c r="AK327" s="1001"/>
      <c r="AL327" s="890"/>
      <c r="AM327" s="950"/>
      <c r="AN327" s="923"/>
    </row>
    <row r="328" spans="1:42" s="866" customFormat="1" ht="12.75" customHeight="1">
      <c r="A328" s="950"/>
      <c r="B328" s="2999"/>
      <c r="C328" s="2999"/>
      <c r="D328" s="2999"/>
      <c r="E328" s="2999"/>
      <c r="F328" s="2999"/>
      <c r="G328" s="2999"/>
      <c r="H328" s="2999"/>
      <c r="I328" s="2999"/>
      <c r="J328" s="2999"/>
      <c r="K328" s="2999"/>
      <c r="L328" s="2999"/>
      <c r="M328" s="2999"/>
      <c r="N328" s="2999"/>
      <c r="O328" s="2999"/>
      <c r="P328" s="2999"/>
      <c r="Q328" s="2999"/>
      <c r="R328" s="2999"/>
      <c r="S328" s="2999"/>
      <c r="T328" s="2999"/>
      <c r="U328" s="2999"/>
      <c r="V328" s="2999"/>
      <c r="W328" s="2999"/>
      <c r="X328" s="2999"/>
      <c r="Y328" s="2999"/>
      <c r="Z328" s="2999"/>
      <c r="AA328" s="2999"/>
      <c r="AB328" s="2999"/>
      <c r="AC328" s="2999"/>
      <c r="AD328" s="2999"/>
      <c r="AE328" s="2999"/>
      <c r="AF328" s="2999"/>
      <c r="AG328" s="2999"/>
      <c r="AH328" s="2999"/>
      <c r="AI328" s="2999"/>
      <c r="AJ328" s="2999"/>
      <c r="AK328" s="1001"/>
      <c r="AL328" s="890"/>
      <c r="AM328" s="950"/>
      <c r="AN328" s="923"/>
    </row>
    <row r="329" spans="1:42" s="866" customFormat="1" ht="12.75" customHeight="1">
      <c r="A329" s="950"/>
      <c r="B329" s="2999"/>
      <c r="C329" s="2999"/>
      <c r="D329" s="2999"/>
      <c r="E329" s="2999"/>
      <c r="F329" s="2999"/>
      <c r="G329" s="2999"/>
      <c r="H329" s="2999"/>
      <c r="I329" s="2999"/>
      <c r="J329" s="2999"/>
      <c r="K329" s="2999"/>
      <c r="L329" s="2999"/>
      <c r="M329" s="2999"/>
      <c r="N329" s="2999"/>
      <c r="O329" s="2999"/>
      <c r="P329" s="2999"/>
      <c r="Q329" s="2999"/>
      <c r="R329" s="2999"/>
      <c r="S329" s="2999"/>
      <c r="T329" s="2999"/>
      <c r="U329" s="2999"/>
      <c r="V329" s="2999"/>
      <c r="W329" s="2999"/>
      <c r="X329" s="2999"/>
      <c r="Y329" s="2999"/>
      <c r="Z329" s="2999"/>
      <c r="AA329" s="2999"/>
      <c r="AB329" s="2999"/>
      <c r="AC329" s="2999"/>
      <c r="AD329" s="2999"/>
      <c r="AE329" s="2999"/>
      <c r="AF329" s="2999"/>
      <c r="AG329" s="2999"/>
      <c r="AH329" s="2999"/>
      <c r="AI329" s="2999"/>
      <c r="AJ329" s="2999"/>
      <c r="AK329" s="1001"/>
      <c r="AL329" s="890"/>
      <c r="AM329" s="950"/>
      <c r="AN329" s="923"/>
    </row>
    <row r="330" spans="1:42" s="866" customFormat="1" ht="12.75" customHeight="1">
      <c r="A330" s="950"/>
      <c r="B330" s="2999"/>
      <c r="C330" s="2999"/>
      <c r="D330" s="2999"/>
      <c r="E330" s="2999"/>
      <c r="F330" s="2999"/>
      <c r="G330" s="2999"/>
      <c r="H330" s="2999"/>
      <c r="I330" s="2999"/>
      <c r="J330" s="2999"/>
      <c r="K330" s="2999"/>
      <c r="L330" s="2999"/>
      <c r="M330" s="2999"/>
      <c r="N330" s="2999"/>
      <c r="O330" s="2999"/>
      <c r="P330" s="2999"/>
      <c r="Q330" s="2999"/>
      <c r="R330" s="2999"/>
      <c r="S330" s="2999"/>
      <c r="T330" s="2999"/>
      <c r="U330" s="2999"/>
      <c r="V330" s="2999"/>
      <c r="W330" s="2999"/>
      <c r="X330" s="2999"/>
      <c r="Y330" s="2999"/>
      <c r="Z330" s="2999"/>
      <c r="AA330" s="2999"/>
      <c r="AB330" s="2999"/>
      <c r="AC330" s="2999"/>
      <c r="AD330" s="2999"/>
      <c r="AE330" s="2999"/>
      <c r="AF330" s="2999"/>
      <c r="AG330" s="2999"/>
      <c r="AH330" s="2999"/>
      <c r="AI330" s="2999"/>
      <c r="AJ330" s="2999"/>
      <c r="AK330" s="1001"/>
      <c r="AL330" s="890"/>
      <c r="AM330" s="950"/>
      <c r="AN330" s="923"/>
    </row>
    <row r="331" spans="1:42" s="866" customFormat="1" ht="12.75" customHeight="1">
      <c r="A331" s="950"/>
      <c r="B331" s="2999"/>
      <c r="C331" s="2999"/>
      <c r="D331" s="2999"/>
      <c r="E331" s="2999"/>
      <c r="F331" s="2999"/>
      <c r="G331" s="2999"/>
      <c r="H331" s="2999"/>
      <c r="I331" s="2999"/>
      <c r="J331" s="2999"/>
      <c r="K331" s="2999"/>
      <c r="L331" s="2999"/>
      <c r="M331" s="2999"/>
      <c r="N331" s="2999"/>
      <c r="O331" s="2999"/>
      <c r="P331" s="2999"/>
      <c r="Q331" s="2999"/>
      <c r="R331" s="2999"/>
      <c r="S331" s="2999"/>
      <c r="T331" s="2999"/>
      <c r="U331" s="2999"/>
      <c r="V331" s="2999"/>
      <c r="W331" s="2999"/>
      <c r="X331" s="2999"/>
      <c r="Y331" s="2999"/>
      <c r="Z331" s="2999"/>
      <c r="AA331" s="2999"/>
      <c r="AB331" s="2999"/>
      <c r="AC331" s="2999"/>
      <c r="AD331" s="2999"/>
      <c r="AE331" s="2999"/>
      <c r="AF331" s="2999"/>
      <c r="AG331" s="2999"/>
      <c r="AH331" s="2999"/>
      <c r="AI331" s="2999"/>
      <c r="AJ331" s="2999"/>
      <c r="AK331" s="1001"/>
      <c r="AL331" s="890"/>
      <c r="AM331" s="950"/>
      <c r="AN331" s="923"/>
    </row>
    <row r="332" spans="1:42" ht="12.75" customHeight="1">
      <c r="A332" s="950"/>
      <c r="B332" s="2999"/>
      <c r="C332" s="2999"/>
      <c r="D332" s="2999"/>
      <c r="E332" s="2999"/>
      <c r="F332" s="2999"/>
      <c r="G332" s="2999"/>
      <c r="H332" s="2999"/>
      <c r="I332" s="2999"/>
      <c r="J332" s="2999"/>
      <c r="K332" s="2999"/>
      <c r="L332" s="2999"/>
      <c r="M332" s="2999"/>
      <c r="N332" s="2999"/>
      <c r="O332" s="2999"/>
      <c r="P332" s="2999"/>
      <c r="Q332" s="2999"/>
      <c r="R332" s="2999"/>
      <c r="S332" s="2999"/>
      <c r="T332" s="2999"/>
      <c r="U332" s="2999"/>
      <c r="V332" s="2999"/>
      <c r="W332" s="2999"/>
      <c r="X332" s="2999"/>
      <c r="Y332" s="2999"/>
      <c r="Z332" s="2999"/>
      <c r="AA332" s="2999"/>
      <c r="AB332" s="2999"/>
      <c r="AC332" s="2999"/>
      <c r="AD332" s="2999"/>
      <c r="AE332" s="2999"/>
      <c r="AF332" s="2999"/>
      <c r="AG332" s="2999"/>
      <c r="AH332" s="2999"/>
      <c r="AI332" s="2999"/>
      <c r="AJ332" s="2999"/>
      <c r="AK332" s="1001"/>
      <c r="AL332" s="890"/>
      <c r="AM332" s="950"/>
    </row>
    <row r="333" spans="1:42" s="866" customFormat="1" ht="12.75" customHeight="1">
      <c r="A333" s="983"/>
      <c r="B333" s="2999"/>
      <c r="C333" s="2999"/>
      <c r="D333" s="2999"/>
      <c r="E333" s="2999"/>
      <c r="F333" s="2999"/>
      <c r="G333" s="2999"/>
      <c r="H333" s="2999"/>
      <c r="I333" s="2999"/>
      <c r="J333" s="2999"/>
      <c r="K333" s="2999"/>
      <c r="L333" s="2999"/>
      <c r="M333" s="2999"/>
      <c r="N333" s="2999"/>
      <c r="O333" s="2999"/>
      <c r="P333" s="2999"/>
      <c r="Q333" s="2999"/>
      <c r="R333" s="2999"/>
      <c r="S333" s="2999"/>
      <c r="T333" s="2999"/>
      <c r="U333" s="2999"/>
      <c r="V333" s="2999"/>
      <c r="W333" s="2999"/>
      <c r="X333" s="2999"/>
      <c r="Y333" s="2999"/>
      <c r="Z333" s="2999"/>
      <c r="AA333" s="2999"/>
      <c r="AB333" s="2999"/>
      <c r="AC333" s="2999"/>
      <c r="AD333" s="2999"/>
      <c r="AE333" s="2999"/>
      <c r="AF333" s="2999"/>
      <c r="AG333" s="2999"/>
      <c r="AH333" s="2999"/>
      <c r="AI333" s="2999"/>
      <c r="AJ333" s="2999"/>
      <c r="AK333" s="1001"/>
      <c r="AL333" s="890"/>
      <c r="AM333" s="949"/>
      <c r="AN333" s="923"/>
    </row>
    <row r="334" spans="1:42" s="866" customFormat="1" ht="12.75" customHeight="1">
      <c r="A334" s="983"/>
      <c r="B334" s="1001"/>
      <c r="C334" s="1001"/>
      <c r="D334" s="1001"/>
      <c r="E334" s="1001"/>
      <c r="F334" s="1001"/>
      <c r="G334" s="1001"/>
      <c r="H334" s="1001"/>
      <c r="I334" s="1001"/>
      <c r="J334" s="1001"/>
      <c r="K334" s="1001"/>
      <c r="L334" s="1001"/>
      <c r="M334" s="1001"/>
      <c r="N334" s="1001"/>
      <c r="O334" s="1001"/>
      <c r="P334" s="1001"/>
      <c r="Q334" s="1001"/>
      <c r="R334" s="1001"/>
      <c r="S334" s="1001"/>
      <c r="T334" s="1001"/>
      <c r="U334" s="1001"/>
      <c r="V334" s="1001"/>
      <c r="W334" s="1001"/>
      <c r="X334" s="1001"/>
      <c r="Y334" s="1001"/>
      <c r="Z334" s="1001"/>
      <c r="AA334" s="1001"/>
      <c r="AB334" s="1001"/>
      <c r="AC334" s="1001"/>
      <c r="AD334" s="1001"/>
      <c r="AE334" s="1001"/>
      <c r="AF334" s="1001"/>
      <c r="AG334" s="1001"/>
      <c r="AH334" s="1001"/>
      <c r="AI334" s="1001"/>
      <c r="AJ334" s="1001"/>
      <c r="AK334" s="1001"/>
      <c r="AL334" s="890"/>
      <c r="AM334" s="949"/>
      <c r="AN334" s="923"/>
    </row>
    <row r="335" spans="1:42" s="866" customFormat="1" ht="12.75" customHeight="1">
      <c r="A335" s="983"/>
      <c r="B335" s="1029" t="s">
        <v>1688</v>
      </c>
      <c r="C335" s="1039"/>
      <c r="D335" s="890"/>
      <c r="E335" s="890"/>
      <c r="F335" s="890"/>
      <c r="G335" s="890"/>
      <c r="H335" s="890"/>
      <c r="I335" s="890"/>
      <c r="J335" s="890"/>
      <c r="K335" s="890"/>
      <c r="L335" s="890"/>
      <c r="M335" s="890"/>
      <c r="N335" s="890"/>
      <c r="O335" s="890"/>
      <c r="P335" s="890"/>
      <c r="Q335" s="890"/>
      <c r="R335" s="890"/>
      <c r="S335" s="890"/>
      <c r="T335" s="890"/>
      <c r="U335" s="890"/>
      <c r="V335" s="890"/>
      <c r="W335" s="890"/>
      <c r="X335" s="890"/>
      <c r="Y335" s="890"/>
      <c r="Z335" s="890"/>
      <c r="AA335" s="890"/>
      <c r="AB335" s="890"/>
      <c r="AC335" s="890"/>
      <c r="AD335" s="890"/>
      <c r="AE335" s="890"/>
      <c r="AF335" s="890"/>
      <c r="AG335" s="890"/>
      <c r="AH335" s="890"/>
      <c r="AI335" s="890"/>
      <c r="AK335" s="949"/>
      <c r="AL335" s="949"/>
      <c r="AM335" s="949"/>
      <c r="AN335" s="923"/>
      <c r="AP335" s="866" t="s">
        <v>628</v>
      </c>
    </row>
    <row r="336" spans="1:42" s="866" customFormat="1" ht="12.75" customHeight="1">
      <c r="A336" s="983"/>
      <c r="B336" s="853"/>
      <c r="C336" s="1039"/>
      <c r="D336" s="890"/>
      <c r="E336" s="890"/>
      <c r="F336" s="890"/>
      <c r="G336" s="890"/>
      <c r="H336" s="890"/>
      <c r="I336" s="890"/>
      <c r="J336" s="890"/>
      <c r="K336" s="890"/>
      <c r="L336" s="890"/>
      <c r="M336" s="890"/>
      <c r="N336" s="890"/>
      <c r="O336" s="890"/>
      <c r="P336" s="890"/>
      <c r="Q336" s="890"/>
      <c r="R336" s="890"/>
      <c r="S336" s="890"/>
      <c r="T336" s="890"/>
      <c r="U336" s="890"/>
      <c r="V336" s="890"/>
      <c r="W336" s="890"/>
      <c r="X336" s="890"/>
      <c r="Y336" s="890"/>
      <c r="Z336" s="890"/>
      <c r="AA336" s="890"/>
      <c r="AB336" s="890"/>
      <c r="AC336" s="890"/>
      <c r="AD336" s="890"/>
      <c r="AE336" s="890"/>
      <c r="AF336" s="890"/>
      <c r="AG336" s="890"/>
      <c r="AH336" s="890"/>
      <c r="AI336" s="890"/>
      <c r="AK336" s="949"/>
      <c r="AL336" s="949"/>
      <c r="AM336" s="949"/>
      <c r="AN336" s="923"/>
      <c r="AP336" s="866" t="s">
        <v>580</v>
      </c>
    </row>
    <row r="337" spans="1:42" s="866" customFormat="1" ht="12.75" customHeight="1">
      <c r="A337" s="983"/>
      <c r="B337" s="983"/>
      <c r="C337" s="909" t="s">
        <v>1689</v>
      </c>
      <c r="D337" s="1040"/>
      <c r="E337" s="890"/>
      <c r="F337" s="890"/>
      <c r="G337" s="890"/>
      <c r="H337" s="890"/>
      <c r="I337" s="890"/>
      <c r="J337" s="890"/>
      <c r="K337" s="890"/>
      <c r="L337" s="890"/>
      <c r="M337" s="890"/>
      <c r="N337" s="890"/>
      <c r="O337" s="890"/>
      <c r="P337" s="890"/>
      <c r="Q337" s="890"/>
      <c r="R337" s="890"/>
      <c r="S337" s="890"/>
      <c r="T337" s="890"/>
      <c r="U337" s="890"/>
      <c r="V337" s="890"/>
      <c r="W337" s="890"/>
      <c r="X337" s="890"/>
      <c r="Y337" s="890"/>
      <c r="Z337" s="890"/>
      <c r="AA337" s="890"/>
      <c r="AB337" s="890"/>
      <c r="AC337" s="890"/>
      <c r="AD337" s="890"/>
      <c r="AE337" s="890"/>
      <c r="AF337" s="890"/>
      <c r="AG337" s="890"/>
      <c r="AH337" s="890"/>
      <c r="AI337" s="890"/>
      <c r="AK337" s="949"/>
      <c r="AL337" s="949"/>
      <c r="AM337" s="949"/>
      <c r="AN337" s="923"/>
    </row>
    <row r="338" spans="1:42" s="866" customFormat="1" ht="12.75" customHeight="1">
      <c r="A338" s="983"/>
      <c r="B338" s="946"/>
      <c r="C338" s="929"/>
      <c r="D338" s="1519"/>
      <c r="E338" s="1518"/>
      <c r="F338" s="1518"/>
      <c r="G338" s="1518"/>
      <c r="H338" s="1518"/>
      <c r="I338" s="1518"/>
      <c r="J338" s="1518"/>
      <c r="K338" s="1518"/>
      <c r="L338" s="1518"/>
      <c r="M338" s="1518"/>
      <c r="N338" s="1518"/>
      <c r="O338" s="1518"/>
      <c r="P338" s="1518"/>
      <c r="Q338" s="1518"/>
      <c r="R338" s="1518"/>
      <c r="S338" s="1518"/>
      <c r="T338" s="1518"/>
      <c r="U338" s="1518"/>
      <c r="V338" s="1518"/>
      <c r="W338" s="1518"/>
      <c r="X338" s="1518"/>
      <c r="Y338" s="1518"/>
      <c r="Z338" s="1518"/>
      <c r="AA338" s="1518"/>
      <c r="AB338" s="1518"/>
      <c r="AC338" s="1518"/>
      <c r="AD338" s="1518"/>
      <c r="AE338" s="1518"/>
      <c r="AF338" s="850"/>
      <c r="AG338" s="850"/>
      <c r="AH338" s="850"/>
      <c r="AI338" s="850"/>
      <c r="AJ338" s="850"/>
      <c r="AK338" s="850"/>
      <c r="AL338" s="850"/>
      <c r="AM338" s="949"/>
      <c r="AN338" s="923"/>
    </row>
    <row r="339" spans="1:42" s="866" customFormat="1" ht="12.75" customHeight="1">
      <c r="A339" s="983"/>
      <c r="B339" s="850"/>
      <c r="C339" s="850"/>
      <c r="D339" s="1029" t="s">
        <v>727</v>
      </c>
      <c r="E339" s="1559" t="s">
        <v>2215</v>
      </c>
      <c r="F339" s="1001"/>
      <c r="G339" s="1001"/>
      <c r="H339" s="1001"/>
      <c r="I339" s="1001"/>
      <c r="J339" s="1001"/>
      <c r="K339" s="1001"/>
      <c r="L339" s="1001"/>
      <c r="M339" s="1001"/>
      <c r="N339" s="1001"/>
      <c r="O339" s="1001"/>
      <c r="P339" s="1001"/>
      <c r="Q339" s="1001"/>
      <c r="R339" s="1001"/>
      <c r="S339" s="1001"/>
      <c r="T339" s="1001"/>
      <c r="U339" s="1001"/>
      <c r="V339" s="1001"/>
      <c r="W339" s="1001"/>
      <c r="X339" s="1001"/>
      <c r="Y339" s="1001"/>
      <c r="Z339" s="1001"/>
      <c r="AA339" s="1001"/>
      <c r="AB339" s="1001"/>
      <c r="AC339" s="850"/>
      <c r="AD339" s="850"/>
      <c r="AE339" s="850"/>
      <c r="AF339" s="2941" t="s">
        <v>1624</v>
      </c>
      <c r="AG339" s="2941"/>
      <c r="AH339" s="2941"/>
      <c r="AI339" s="2941"/>
      <c r="AJ339" s="2941"/>
      <c r="AK339" s="2941"/>
      <c r="AL339" s="2941"/>
      <c r="AM339" s="949"/>
      <c r="AN339" s="923"/>
    </row>
    <row r="340" spans="1:42" s="866" customFormat="1" ht="12.75" customHeight="1">
      <c r="A340" s="949"/>
      <c r="B340" s="929"/>
      <c r="C340" s="958"/>
      <c r="D340" s="1029"/>
      <c r="E340" s="1559" t="s">
        <v>2216</v>
      </c>
      <c r="F340" s="1001"/>
      <c r="G340" s="1001"/>
      <c r="H340" s="1001"/>
      <c r="I340" s="1001"/>
      <c r="J340" s="1001"/>
      <c r="K340" s="1001"/>
      <c r="L340" s="1001"/>
      <c r="M340" s="1001"/>
      <c r="N340" s="1001"/>
      <c r="O340" s="1001"/>
      <c r="P340" s="1001"/>
      <c r="Q340" s="1001"/>
      <c r="R340" s="1001"/>
      <c r="S340" s="1001"/>
      <c r="T340" s="1001"/>
      <c r="U340" s="1001"/>
      <c r="V340" s="1001"/>
      <c r="W340" s="1001"/>
      <c r="X340" s="1001"/>
      <c r="Y340" s="1001"/>
      <c r="Z340" s="1001"/>
      <c r="AA340" s="1001"/>
      <c r="AB340" s="1001"/>
      <c r="AC340" s="850"/>
      <c r="AD340" s="850"/>
      <c r="AE340" s="958"/>
      <c r="AF340" s="958"/>
      <c r="AG340" s="958"/>
      <c r="AH340" s="958"/>
      <c r="AI340" s="958"/>
      <c r="AJ340" s="958"/>
      <c r="AK340" s="958"/>
      <c r="AL340" s="958"/>
      <c r="AM340" s="949"/>
      <c r="AN340" s="923"/>
    </row>
    <row r="341" spans="1:42" s="866" customFormat="1" ht="12.75" customHeight="1">
      <c r="A341" s="949"/>
      <c r="B341" s="929"/>
      <c r="C341" s="958"/>
      <c r="D341" s="1029"/>
      <c r="E341" s="1559" t="s">
        <v>2217</v>
      </c>
      <c r="F341" s="1001"/>
      <c r="G341" s="1001"/>
      <c r="H341" s="1001"/>
      <c r="I341" s="1001"/>
      <c r="J341" s="1001"/>
      <c r="K341" s="1001"/>
      <c r="L341" s="1001"/>
      <c r="M341" s="1001"/>
      <c r="N341" s="1001"/>
      <c r="O341" s="1001"/>
      <c r="P341" s="1001"/>
      <c r="Q341" s="1001"/>
      <c r="R341" s="1001"/>
      <c r="S341" s="1001"/>
      <c r="T341" s="1001"/>
      <c r="U341" s="1001"/>
      <c r="V341" s="1001"/>
      <c r="W341" s="1001"/>
      <c r="X341" s="1001"/>
      <c r="Y341" s="1001"/>
      <c r="Z341" s="1001"/>
      <c r="AA341" s="1001"/>
      <c r="AB341" s="1001"/>
      <c r="AC341" s="850"/>
      <c r="AD341" s="850"/>
      <c r="AE341" s="958"/>
      <c r="AF341" s="958"/>
      <c r="AG341" s="958"/>
      <c r="AH341" s="958"/>
      <c r="AI341" s="958"/>
      <c r="AJ341" s="958"/>
      <c r="AK341" s="958"/>
      <c r="AL341" s="958"/>
      <c r="AM341" s="949"/>
      <c r="AN341" s="923"/>
    </row>
    <row r="342" spans="1:42" s="866" customFormat="1" ht="12.75" customHeight="1">
      <c r="A342" s="949"/>
      <c r="B342" s="929"/>
      <c r="C342" s="958"/>
      <c r="D342" s="1029"/>
      <c r="E342" s="1559" t="s">
        <v>2218</v>
      </c>
      <c r="F342" s="1001"/>
      <c r="G342" s="1001"/>
      <c r="H342" s="1001"/>
      <c r="I342" s="1001"/>
      <c r="J342" s="1001"/>
      <c r="K342" s="1001"/>
      <c r="L342" s="1001"/>
      <c r="M342" s="1001"/>
      <c r="N342" s="1001"/>
      <c r="O342" s="1001"/>
      <c r="P342" s="1001"/>
      <c r="Q342" s="1001"/>
      <c r="R342" s="1001"/>
      <c r="S342" s="1001"/>
      <c r="T342" s="1001"/>
      <c r="U342" s="1001"/>
      <c r="V342" s="1001"/>
      <c r="W342" s="1001"/>
      <c r="X342" s="1001"/>
      <c r="Y342" s="1001"/>
      <c r="Z342" s="1001"/>
      <c r="AA342" s="1001"/>
      <c r="AB342" s="1001"/>
      <c r="AC342" s="850"/>
      <c r="AD342" s="850"/>
      <c r="AE342" s="958"/>
      <c r="AF342" s="958"/>
      <c r="AG342" s="958"/>
      <c r="AH342" s="958"/>
      <c r="AI342" s="958"/>
      <c r="AJ342" s="958"/>
      <c r="AK342" s="958"/>
      <c r="AL342" s="958"/>
      <c r="AM342" s="949"/>
      <c r="AN342" s="923"/>
    </row>
    <row r="343" spans="1:42" s="866" customFormat="1" ht="12.75" customHeight="1">
      <c r="A343" s="949"/>
      <c r="B343" s="929"/>
      <c r="C343" s="958"/>
      <c r="D343" s="1029"/>
      <c r="E343" s="1559" t="s">
        <v>2219</v>
      </c>
      <c r="F343" s="1001"/>
      <c r="G343" s="1001"/>
      <c r="H343" s="1001"/>
      <c r="I343" s="1001"/>
      <c r="J343" s="1001"/>
      <c r="K343" s="1001"/>
      <c r="L343" s="1001"/>
      <c r="M343" s="1001"/>
      <c r="N343" s="1001"/>
      <c r="O343" s="1001"/>
      <c r="P343" s="1001"/>
      <c r="Q343" s="1001"/>
      <c r="R343" s="1001"/>
      <c r="S343" s="1001"/>
      <c r="T343" s="1001"/>
      <c r="U343" s="1001"/>
      <c r="V343" s="1001"/>
      <c r="W343" s="1001"/>
      <c r="X343" s="1001"/>
      <c r="Y343" s="1001"/>
      <c r="Z343" s="1001"/>
      <c r="AA343" s="1001"/>
      <c r="AB343" s="1001"/>
      <c r="AC343" s="850"/>
      <c r="AD343" s="850"/>
      <c r="AE343" s="958"/>
      <c r="AF343" s="958"/>
      <c r="AG343" s="958"/>
      <c r="AH343" s="958"/>
      <c r="AI343" s="958"/>
      <c r="AJ343" s="958"/>
      <c r="AK343" s="958"/>
      <c r="AL343" s="958"/>
      <c r="AM343" s="949"/>
      <c r="AN343" s="923"/>
    </row>
    <row r="344" spans="1:42" s="866" customFormat="1" ht="12.75" customHeight="1">
      <c r="A344" s="949"/>
      <c r="B344" s="929"/>
      <c r="C344" s="958"/>
      <c r="D344" s="1029"/>
      <c r="E344" s="1559" t="s">
        <v>2220</v>
      </c>
      <c r="F344" s="1001"/>
      <c r="G344" s="1001"/>
      <c r="H344" s="1001"/>
      <c r="I344" s="1001"/>
      <c r="J344" s="1001"/>
      <c r="K344" s="1001"/>
      <c r="L344" s="1001"/>
      <c r="M344" s="1001"/>
      <c r="N344" s="1001"/>
      <c r="O344" s="1001"/>
      <c r="P344" s="1001"/>
      <c r="Q344" s="1001"/>
      <c r="R344" s="1001"/>
      <c r="S344" s="1001"/>
      <c r="T344" s="1001"/>
      <c r="U344" s="1001"/>
      <c r="V344" s="1001"/>
      <c r="W344" s="1001"/>
      <c r="X344" s="1001"/>
      <c r="Y344" s="1001"/>
      <c r="Z344" s="1001"/>
      <c r="AA344" s="1001"/>
      <c r="AB344" s="1001"/>
      <c r="AC344" s="850"/>
      <c r="AD344" s="850"/>
      <c r="AE344" s="958"/>
      <c r="AF344" s="958"/>
      <c r="AG344" s="958"/>
      <c r="AH344" s="958"/>
      <c r="AI344" s="958"/>
      <c r="AJ344" s="958"/>
      <c r="AK344" s="958"/>
      <c r="AL344" s="958"/>
      <c r="AM344" s="949"/>
      <c r="AN344" s="923"/>
    </row>
    <row r="345" spans="1:42" s="925" customFormat="1" ht="12.75" customHeight="1">
      <c r="A345" s="949"/>
      <c r="B345" s="929"/>
      <c r="C345" s="958"/>
      <c r="D345" s="1029"/>
      <c r="E345" s="1559"/>
      <c r="F345" s="1001"/>
      <c r="G345" s="1001"/>
      <c r="H345" s="1001"/>
      <c r="I345" s="1001"/>
      <c r="J345" s="1001"/>
      <c r="K345" s="1001"/>
      <c r="L345" s="1001"/>
      <c r="M345" s="1001"/>
      <c r="N345" s="1001"/>
      <c r="O345" s="1001"/>
      <c r="P345" s="1001"/>
      <c r="Q345" s="1001"/>
      <c r="R345" s="1001"/>
      <c r="S345" s="1001"/>
      <c r="T345" s="1001"/>
      <c r="U345" s="1001"/>
      <c r="V345" s="1001"/>
      <c r="W345" s="1001"/>
      <c r="X345" s="1001"/>
      <c r="Y345" s="1001"/>
      <c r="Z345" s="1001"/>
      <c r="AA345" s="1001"/>
      <c r="AB345" s="1001"/>
      <c r="AC345" s="850"/>
      <c r="AD345" s="850"/>
      <c r="AE345" s="958"/>
      <c r="AF345" s="853"/>
      <c r="AG345" s="853"/>
      <c r="AH345" s="853"/>
      <c r="AI345" s="853"/>
      <c r="AJ345" s="853"/>
      <c r="AK345" s="853"/>
      <c r="AL345" s="853"/>
      <c r="AM345" s="949"/>
      <c r="AN345" s="924"/>
    </row>
    <row r="346" spans="1:42" s="866" customFormat="1" ht="12.75" customHeight="1">
      <c r="A346" s="1042"/>
      <c r="B346" s="929"/>
      <c r="C346" s="1560"/>
      <c r="D346" s="1029" t="s">
        <v>544</v>
      </c>
      <c r="E346" s="1559" t="s">
        <v>2221</v>
      </c>
      <c r="F346" s="1561"/>
      <c r="G346" s="1561"/>
      <c r="H346" s="1561"/>
      <c r="I346" s="1561"/>
      <c r="J346" s="1561"/>
      <c r="K346" s="1561"/>
      <c r="L346" s="1561"/>
      <c r="M346" s="1561"/>
      <c r="N346" s="1561"/>
      <c r="O346" s="1561"/>
      <c r="P346" s="1561"/>
      <c r="Q346" s="1561"/>
      <c r="R346" s="1561"/>
      <c r="S346" s="1561"/>
      <c r="T346" s="1561"/>
      <c r="U346" s="1561"/>
      <c r="V346" s="1561"/>
      <c r="W346" s="1561"/>
      <c r="X346" s="1561"/>
      <c r="Y346" s="1561"/>
      <c r="Z346" s="1561"/>
      <c r="AA346" s="1561"/>
      <c r="AB346" s="1561"/>
      <c r="AC346" s="850"/>
      <c r="AD346" s="850"/>
      <c r="AE346" s="850"/>
      <c r="AF346" s="2941" t="s">
        <v>1690</v>
      </c>
      <c r="AG346" s="2941"/>
      <c r="AH346" s="2941"/>
      <c r="AI346" s="2941"/>
      <c r="AJ346" s="2941"/>
      <c r="AK346" s="2941"/>
      <c r="AL346" s="2941"/>
      <c r="AM346" s="949"/>
      <c r="AN346" s="923"/>
    </row>
    <row r="347" spans="1:42" s="866" customFormat="1" ht="12.75" customHeight="1">
      <c r="A347" s="983"/>
      <c r="B347" s="946"/>
      <c r="C347" s="1562"/>
      <c r="D347" s="1029"/>
      <c r="E347" s="1559" t="s">
        <v>2222</v>
      </c>
      <c r="F347" s="1561"/>
      <c r="G347" s="1561"/>
      <c r="H347" s="1561"/>
      <c r="I347" s="1561"/>
      <c r="J347" s="1561"/>
      <c r="K347" s="1561"/>
      <c r="L347" s="1561"/>
      <c r="M347" s="1561"/>
      <c r="N347" s="1561"/>
      <c r="O347" s="1561"/>
      <c r="P347" s="1561"/>
      <c r="Q347" s="1561"/>
      <c r="R347" s="1561"/>
      <c r="S347" s="1561"/>
      <c r="T347" s="1561"/>
      <c r="U347" s="1561"/>
      <c r="V347" s="1561"/>
      <c r="W347" s="1561"/>
      <c r="X347" s="1561"/>
      <c r="Y347" s="1561"/>
      <c r="Z347" s="1561"/>
      <c r="AA347" s="1561"/>
      <c r="AB347" s="1561"/>
      <c r="AC347" s="850"/>
      <c r="AD347" s="850"/>
      <c r="AE347" s="929"/>
      <c r="AF347" s="929"/>
      <c r="AG347" s="929"/>
      <c r="AH347" s="929"/>
      <c r="AI347" s="929"/>
      <c r="AJ347" s="929"/>
      <c r="AK347" s="929"/>
      <c r="AL347" s="929"/>
      <c r="AM347" s="949"/>
      <c r="AN347" s="923"/>
      <c r="AO347" s="866" t="s">
        <v>628</v>
      </c>
      <c r="AP347" s="1043">
        <v>0</v>
      </c>
    </row>
    <row r="348" spans="1:42" s="866" customFormat="1" ht="12.75" customHeight="1">
      <c r="A348" s="983"/>
      <c r="B348" s="947"/>
      <c r="C348" s="1563"/>
      <c r="D348" s="1029"/>
      <c r="E348" s="1559" t="s">
        <v>2223</v>
      </c>
      <c r="F348" s="1561"/>
      <c r="G348" s="1561"/>
      <c r="H348" s="1561"/>
      <c r="I348" s="1561"/>
      <c r="J348" s="1561"/>
      <c r="K348" s="1561"/>
      <c r="L348" s="1561"/>
      <c r="M348" s="1561"/>
      <c r="N348" s="1561"/>
      <c r="O348" s="1561"/>
      <c r="P348" s="1561"/>
      <c r="Q348" s="1561"/>
      <c r="R348" s="1561"/>
      <c r="S348" s="1561"/>
      <c r="T348" s="1561"/>
      <c r="U348" s="1561"/>
      <c r="V348" s="1561"/>
      <c r="W348" s="1561"/>
      <c r="X348" s="1561"/>
      <c r="Y348" s="1561"/>
      <c r="Z348" s="1561"/>
      <c r="AA348" s="1561"/>
      <c r="AB348" s="1561"/>
      <c r="AC348" s="850"/>
      <c r="AD348" s="850"/>
      <c r="AE348" s="946"/>
      <c r="AF348" s="946"/>
      <c r="AG348" s="946"/>
      <c r="AH348" s="946"/>
      <c r="AI348" s="946"/>
      <c r="AJ348" s="946"/>
      <c r="AK348" s="946"/>
      <c r="AL348" s="946"/>
      <c r="AM348" s="949"/>
      <c r="AN348" s="923"/>
      <c r="AO348" s="1041" t="s">
        <v>727</v>
      </c>
      <c r="AP348" s="866">
        <v>7</v>
      </c>
    </row>
    <row r="349" spans="1:42" s="866" customFormat="1" ht="12.75" customHeight="1">
      <c r="A349" s="983"/>
      <c r="B349" s="947"/>
      <c r="C349" s="1563"/>
      <c r="D349" s="1029"/>
      <c r="E349" s="1559" t="s">
        <v>2225</v>
      </c>
      <c r="F349" s="1561"/>
      <c r="G349" s="1561"/>
      <c r="H349" s="1561"/>
      <c r="I349" s="1561"/>
      <c r="J349" s="1561"/>
      <c r="K349" s="1561"/>
      <c r="L349" s="1561"/>
      <c r="M349" s="1561"/>
      <c r="N349" s="1561"/>
      <c r="O349" s="1561"/>
      <c r="P349" s="1561"/>
      <c r="Q349" s="1561"/>
      <c r="R349" s="1561"/>
      <c r="S349" s="1561"/>
      <c r="T349" s="1561"/>
      <c r="U349" s="1561"/>
      <c r="V349" s="1561"/>
      <c r="W349" s="1561"/>
      <c r="X349" s="1561"/>
      <c r="Y349" s="1561"/>
      <c r="Z349" s="1561"/>
      <c r="AA349" s="1561"/>
      <c r="AB349" s="1561"/>
      <c r="AC349" s="850"/>
      <c r="AD349" s="850"/>
      <c r="AE349" s="946"/>
      <c r="AF349" s="946"/>
      <c r="AG349" s="946"/>
      <c r="AH349" s="946"/>
      <c r="AI349" s="946"/>
      <c r="AJ349" s="946"/>
      <c r="AK349" s="946"/>
      <c r="AL349" s="946"/>
      <c r="AM349" s="949"/>
      <c r="AN349" s="923"/>
      <c r="AO349" s="1041" t="s">
        <v>544</v>
      </c>
      <c r="AP349" s="866">
        <v>6</v>
      </c>
    </row>
    <row r="350" spans="1:42" s="866" customFormat="1" ht="12.75" customHeight="1">
      <c r="A350" s="983"/>
      <c r="B350" s="947"/>
      <c r="C350" s="1563"/>
      <c r="D350" s="1029"/>
      <c r="E350" s="1559" t="s">
        <v>2224</v>
      </c>
      <c r="F350" s="1561"/>
      <c r="G350" s="1561"/>
      <c r="H350" s="1561"/>
      <c r="I350" s="1561"/>
      <c r="J350" s="1561"/>
      <c r="K350" s="1561"/>
      <c r="L350" s="1561"/>
      <c r="M350" s="1561"/>
      <c r="N350" s="1561"/>
      <c r="O350" s="1561"/>
      <c r="P350" s="1561"/>
      <c r="Q350" s="1561"/>
      <c r="R350" s="1561"/>
      <c r="S350" s="1561"/>
      <c r="T350" s="1561"/>
      <c r="U350" s="1561"/>
      <c r="V350" s="1561"/>
      <c r="W350" s="1561"/>
      <c r="X350" s="1561"/>
      <c r="Y350" s="1561"/>
      <c r="Z350" s="1561"/>
      <c r="AA350" s="1561"/>
      <c r="AB350" s="1561"/>
      <c r="AC350" s="850"/>
      <c r="AD350" s="850"/>
      <c r="AE350" s="946"/>
      <c r="AF350" s="946"/>
      <c r="AG350" s="946"/>
      <c r="AH350" s="946"/>
      <c r="AI350" s="946"/>
      <c r="AJ350" s="946"/>
      <c r="AK350" s="946"/>
      <c r="AL350" s="946"/>
      <c r="AM350" s="949"/>
      <c r="AN350" s="923"/>
      <c r="AO350" s="1041" t="s">
        <v>286</v>
      </c>
      <c r="AP350" s="866">
        <v>5</v>
      </c>
    </row>
    <row r="351" spans="1:42" s="866" customFormat="1" ht="12.75" customHeight="1">
      <c r="A351" s="983"/>
      <c r="B351" s="947"/>
      <c r="C351" s="1563"/>
      <c r="D351" s="1029"/>
      <c r="E351" s="1564"/>
      <c r="F351" s="1565"/>
      <c r="G351" s="1565"/>
      <c r="H351" s="1565"/>
      <c r="I351" s="958"/>
      <c r="J351" s="958"/>
      <c r="K351" s="958"/>
      <c r="L351" s="958"/>
      <c r="M351" s="958"/>
      <c r="N351" s="958"/>
      <c r="O351" s="958"/>
      <c r="P351" s="958"/>
      <c r="Q351" s="958"/>
      <c r="R351" s="958"/>
      <c r="S351" s="958"/>
      <c r="T351" s="958"/>
      <c r="U351" s="958"/>
      <c r="V351" s="958"/>
      <c r="W351" s="958"/>
      <c r="X351" s="958"/>
      <c r="Y351" s="958"/>
      <c r="Z351" s="958"/>
      <c r="AA351" s="958"/>
      <c r="AB351" s="958"/>
      <c r="AC351" s="850"/>
      <c r="AD351" s="850"/>
      <c r="AE351" s="958"/>
      <c r="AF351" s="850"/>
      <c r="AG351" s="850"/>
      <c r="AH351" s="850"/>
      <c r="AI351" s="850"/>
      <c r="AJ351" s="850"/>
      <c r="AK351" s="850"/>
      <c r="AL351" s="850"/>
      <c r="AM351" s="949"/>
      <c r="AN351" s="923"/>
      <c r="AO351" s="1041" t="s">
        <v>1691</v>
      </c>
      <c r="AP351" s="866">
        <v>4</v>
      </c>
    </row>
    <row r="352" spans="1:42" s="866" customFormat="1" ht="12.75" customHeight="1">
      <c r="A352" s="983"/>
      <c r="B352" s="929"/>
      <c r="C352" s="1560"/>
      <c r="D352" s="1029" t="s">
        <v>286</v>
      </c>
      <c r="E352" s="1559" t="s">
        <v>2226</v>
      </c>
      <c r="F352" s="1561"/>
      <c r="G352" s="1561"/>
      <c r="H352" s="1561"/>
      <c r="I352" s="1561"/>
      <c r="J352" s="1561"/>
      <c r="K352" s="1561"/>
      <c r="L352" s="1561"/>
      <c r="M352" s="1561"/>
      <c r="N352" s="1561"/>
      <c r="O352" s="1561"/>
      <c r="P352" s="1561"/>
      <c r="Q352" s="1561"/>
      <c r="R352" s="1561"/>
      <c r="S352" s="1561"/>
      <c r="T352" s="1561"/>
      <c r="U352" s="1561"/>
      <c r="V352" s="1561"/>
      <c r="W352" s="1561"/>
      <c r="X352" s="1561"/>
      <c r="Y352" s="1561"/>
      <c r="Z352" s="1561"/>
      <c r="AA352" s="1561"/>
      <c r="AB352" s="1561"/>
      <c r="AC352" s="850"/>
      <c r="AD352" s="850"/>
      <c r="AE352" s="850"/>
      <c r="AF352" s="2941" t="s">
        <v>1664</v>
      </c>
      <c r="AG352" s="2941"/>
      <c r="AH352" s="2941"/>
      <c r="AI352" s="2941"/>
      <c r="AJ352" s="2941"/>
      <c r="AK352" s="2941"/>
      <c r="AL352" s="2941"/>
      <c r="AM352" s="949"/>
      <c r="AN352" s="923"/>
      <c r="AO352" s="1041" t="s">
        <v>1692</v>
      </c>
      <c r="AP352" s="866">
        <v>3</v>
      </c>
    </row>
    <row r="353" spans="1:53" s="866" customFormat="1" ht="12.75" customHeight="1">
      <c r="A353" s="983"/>
      <c r="B353" s="946"/>
      <c r="C353" s="1562"/>
      <c r="D353" s="1029"/>
      <c r="E353" s="1559" t="s">
        <v>2222</v>
      </c>
      <c r="F353" s="1561"/>
      <c r="G353" s="1561"/>
      <c r="H353" s="1561"/>
      <c r="I353" s="1561"/>
      <c r="J353" s="1561"/>
      <c r="K353" s="1561"/>
      <c r="L353" s="1561"/>
      <c r="M353" s="1561"/>
      <c r="N353" s="1561"/>
      <c r="O353" s="1561"/>
      <c r="P353" s="1561"/>
      <c r="Q353" s="1561"/>
      <c r="R353" s="1561"/>
      <c r="S353" s="1561"/>
      <c r="T353" s="1561"/>
      <c r="U353" s="1561"/>
      <c r="V353" s="1561"/>
      <c r="W353" s="1561"/>
      <c r="X353" s="1561"/>
      <c r="Y353" s="1561"/>
      <c r="Z353" s="1561"/>
      <c r="AA353" s="1561"/>
      <c r="AB353" s="1561"/>
      <c r="AC353" s="850"/>
      <c r="AD353" s="850"/>
      <c r="AE353" s="946"/>
      <c r="AF353" s="946"/>
      <c r="AG353" s="946"/>
      <c r="AH353" s="946"/>
      <c r="AI353" s="946"/>
      <c r="AJ353" s="946"/>
      <c r="AK353" s="946"/>
      <c r="AL353" s="946"/>
      <c r="AM353" s="949"/>
      <c r="AN353" s="923"/>
    </row>
    <row r="354" spans="1:53" s="866" customFormat="1" ht="12.75" customHeight="1">
      <c r="A354" s="983"/>
      <c r="B354" s="946"/>
      <c r="C354" s="1562"/>
      <c r="D354" s="1029"/>
      <c r="E354" s="1559" t="s">
        <v>2223</v>
      </c>
      <c r="F354" s="1561"/>
      <c r="G354" s="1561"/>
      <c r="H354" s="1561"/>
      <c r="I354" s="1561"/>
      <c r="J354" s="1561"/>
      <c r="K354" s="1561"/>
      <c r="L354" s="1561"/>
      <c r="M354" s="1561"/>
      <c r="N354" s="1561"/>
      <c r="O354" s="1561"/>
      <c r="P354" s="1561"/>
      <c r="Q354" s="1561"/>
      <c r="R354" s="1561"/>
      <c r="S354" s="1561"/>
      <c r="T354" s="1561"/>
      <c r="U354" s="1561"/>
      <c r="V354" s="1561"/>
      <c r="W354" s="1561"/>
      <c r="X354" s="1561"/>
      <c r="Y354" s="1561"/>
      <c r="Z354" s="1561"/>
      <c r="AA354" s="1561"/>
      <c r="AB354" s="1561"/>
      <c r="AC354" s="850"/>
      <c r="AD354" s="850"/>
      <c r="AE354" s="946"/>
      <c r="AF354" s="946"/>
      <c r="AG354" s="946"/>
      <c r="AH354" s="946"/>
      <c r="AI354" s="946"/>
      <c r="AJ354" s="946"/>
      <c r="AK354" s="946"/>
      <c r="AL354" s="946"/>
      <c r="AM354" s="949"/>
      <c r="AN354" s="923"/>
    </row>
    <row r="355" spans="1:53" s="866" customFormat="1" ht="12.75" customHeight="1">
      <c r="A355" s="983"/>
      <c r="B355" s="946"/>
      <c r="C355" s="1562"/>
      <c r="D355" s="1029"/>
      <c r="E355" s="1559" t="s">
        <v>2225</v>
      </c>
      <c r="F355" s="1561"/>
      <c r="G355" s="1561"/>
      <c r="H355" s="1561"/>
      <c r="I355" s="1561"/>
      <c r="J355" s="1561"/>
      <c r="K355" s="1561"/>
      <c r="L355" s="1561"/>
      <c r="M355" s="1561"/>
      <c r="N355" s="1561"/>
      <c r="O355" s="1561"/>
      <c r="P355" s="1561"/>
      <c r="Q355" s="1561"/>
      <c r="R355" s="1561"/>
      <c r="S355" s="1561"/>
      <c r="T355" s="1561"/>
      <c r="U355" s="1561"/>
      <c r="V355" s="1561"/>
      <c r="W355" s="1561"/>
      <c r="X355" s="1561"/>
      <c r="Y355" s="1561"/>
      <c r="Z355" s="1561"/>
      <c r="AA355" s="1561"/>
      <c r="AB355" s="1561"/>
      <c r="AC355" s="850"/>
      <c r="AD355" s="850"/>
      <c r="AE355" s="946"/>
      <c r="AF355" s="946"/>
      <c r="AG355" s="946"/>
      <c r="AH355" s="946"/>
      <c r="AI355" s="946"/>
      <c r="AJ355" s="946"/>
      <c r="AK355" s="946"/>
      <c r="AL355" s="946"/>
      <c r="AM355" s="949"/>
      <c r="AN355" s="923"/>
    </row>
    <row r="356" spans="1:53" s="866" customFormat="1" ht="12.75" customHeight="1">
      <c r="A356" s="983"/>
      <c r="B356" s="946"/>
      <c r="C356" s="1562"/>
      <c r="D356" s="1029"/>
      <c r="E356" s="1559" t="s">
        <v>2224</v>
      </c>
      <c r="F356" s="1561"/>
      <c r="G356" s="1561"/>
      <c r="H356" s="1561"/>
      <c r="I356" s="1561"/>
      <c r="J356" s="1561"/>
      <c r="K356" s="1561"/>
      <c r="L356" s="1561"/>
      <c r="M356" s="1561"/>
      <c r="N356" s="1561"/>
      <c r="O356" s="1561"/>
      <c r="P356" s="1561"/>
      <c r="Q356" s="1561"/>
      <c r="R356" s="1561"/>
      <c r="S356" s="1561"/>
      <c r="T356" s="1561"/>
      <c r="U356" s="1561"/>
      <c r="V356" s="1561"/>
      <c r="W356" s="1561"/>
      <c r="X356" s="1561"/>
      <c r="Y356" s="1561"/>
      <c r="Z356" s="1561"/>
      <c r="AA356" s="1561"/>
      <c r="AB356" s="1561"/>
      <c r="AC356" s="850"/>
      <c r="AD356" s="850"/>
      <c r="AE356" s="946"/>
      <c r="AF356" s="946"/>
      <c r="AG356" s="946"/>
      <c r="AH356" s="946"/>
      <c r="AI356" s="946"/>
      <c r="AJ356" s="946"/>
      <c r="AK356" s="946"/>
      <c r="AL356" s="946"/>
      <c r="AM356" s="949"/>
      <c r="AN356" s="923"/>
    </row>
    <row r="357" spans="1:53" s="866" customFormat="1" ht="12.75" customHeight="1">
      <c r="A357" s="51"/>
      <c r="B357" s="51"/>
      <c r="C357" s="985"/>
      <c r="D357" s="1029"/>
      <c r="E357" s="1044"/>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850"/>
      <c r="AD357" s="850"/>
      <c r="AE357" s="51"/>
      <c r="AF357" s="850"/>
      <c r="AG357" s="850"/>
      <c r="AH357" s="850"/>
      <c r="AI357" s="850"/>
      <c r="AJ357" s="850"/>
      <c r="AK357" s="850"/>
      <c r="AL357" s="850"/>
      <c r="AM357" s="51"/>
      <c r="AN357" s="923"/>
    </row>
    <row r="358" spans="1:53" s="866" customFormat="1" ht="12.75" customHeight="1">
      <c r="A358" s="983"/>
      <c r="B358" s="929"/>
      <c r="C358" s="1560"/>
      <c r="D358" s="1029" t="s">
        <v>1691</v>
      </c>
      <c r="E358" s="1559" t="s">
        <v>2227</v>
      </c>
      <c r="F358" s="1561"/>
      <c r="G358" s="1561"/>
      <c r="H358" s="1561"/>
      <c r="I358" s="1561"/>
      <c r="J358" s="1561"/>
      <c r="K358" s="1561"/>
      <c r="L358" s="1561"/>
      <c r="M358" s="1561"/>
      <c r="N358" s="1561"/>
      <c r="O358" s="1561"/>
      <c r="P358" s="1561"/>
      <c r="Q358" s="1561"/>
      <c r="R358" s="1561"/>
      <c r="S358" s="1561"/>
      <c r="T358" s="1561"/>
      <c r="U358" s="1561"/>
      <c r="V358" s="1561"/>
      <c r="W358" s="1561"/>
      <c r="X358" s="1561"/>
      <c r="Y358" s="1561"/>
      <c r="Z358" s="1561"/>
      <c r="AA358" s="1561"/>
      <c r="AB358" s="1561"/>
      <c r="AC358" s="850"/>
      <c r="AD358" s="850"/>
      <c r="AE358" s="850"/>
      <c r="AF358" s="2941" t="s">
        <v>1693</v>
      </c>
      <c r="AG358" s="2941"/>
      <c r="AH358" s="2941"/>
      <c r="AI358" s="2941"/>
      <c r="AJ358" s="2941"/>
      <c r="AK358" s="2941"/>
      <c r="AL358" s="2941"/>
      <c r="AM358" s="949"/>
      <c r="AN358" s="923"/>
      <c r="AO358" s="866" t="str">
        <f>X395</f>
        <v>N/A</v>
      </c>
    </row>
    <row r="359" spans="1:53" s="866" customFormat="1" ht="12.75" customHeight="1">
      <c r="A359" s="983"/>
      <c r="B359" s="946"/>
      <c r="C359" s="1562"/>
      <c r="D359" s="1029"/>
      <c r="E359" s="1559" t="s">
        <v>2228</v>
      </c>
      <c r="F359" s="1561"/>
      <c r="G359" s="1561"/>
      <c r="H359" s="1561"/>
      <c r="I359" s="1561"/>
      <c r="J359" s="1561"/>
      <c r="K359" s="1561"/>
      <c r="L359" s="1561"/>
      <c r="M359" s="1561"/>
      <c r="N359" s="1561"/>
      <c r="O359" s="1561"/>
      <c r="P359" s="1561"/>
      <c r="Q359" s="1561"/>
      <c r="R359" s="1561"/>
      <c r="S359" s="1561"/>
      <c r="T359" s="1561"/>
      <c r="U359" s="1561"/>
      <c r="V359" s="1561"/>
      <c r="W359" s="1561"/>
      <c r="X359" s="1561"/>
      <c r="Y359" s="1561"/>
      <c r="Z359" s="1561"/>
      <c r="AA359" s="1561"/>
      <c r="AB359" s="1561"/>
      <c r="AC359" s="51"/>
      <c r="AD359" s="51"/>
      <c r="AE359" s="946"/>
      <c r="AF359" s="946"/>
      <c r="AG359" s="946"/>
      <c r="AH359" s="946"/>
      <c r="AI359" s="946"/>
      <c r="AJ359" s="946"/>
      <c r="AK359" s="946"/>
      <c r="AL359" s="946"/>
      <c r="AM359" s="949"/>
      <c r="AN359" s="923"/>
      <c r="AU359" s="913"/>
      <c r="AV359" s="913"/>
      <c r="AW359" s="913"/>
      <c r="AX359" s="913"/>
      <c r="AY359" s="913"/>
      <c r="AZ359" s="913"/>
      <c r="BA359" s="913"/>
    </row>
    <row r="360" spans="1:53" s="866" customFormat="1" ht="12.75" customHeight="1">
      <c r="A360" s="983"/>
      <c r="B360" s="947"/>
      <c r="C360" s="1563"/>
      <c r="D360" s="1029"/>
      <c r="E360" s="1559" t="s">
        <v>2229</v>
      </c>
      <c r="F360" s="1561"/>
      <c r="G360" s="1561"/>
      <c r="H360" s="1561"/>
      <c r="I360" s="1561"/>
      <c r="J360" s="1561"/>
      <c r="K360" s="1561"/>
      <c r="L360" s="1561"/>
      <c r="M360" s="1561"/>
      <c r="N360" s="1561"/>
      <c r="O360" s="1561"/>
      <c r="P360" s="1561"/>
      <c r="Q360" s="1561"/>
      <c r="R360" s="1561"/>
      <c r="S360" s="1561"/>
      <c r="T360" s="1561"/>
      <c r="U360" s="1561"/>
      <c r="V360" s="1561"/>
      <c r="W360" s="1561"/>
      <c r="X360" s="1561"/>
      <c r="Y360" s="1561"/>
      <c r="Z360" s="1561"/>
      <c r="AA360" s="1561"/>
      <c r="AB360" s="1561"/>
      <c r="AC360" s="850"/>
      <c r="AD360" s="850"/>
      <c r="AE360" s="946"/>
      <c r="AF360" s="946"/>
      <c r="AG360" s="946"/>
      <c r="AH360" s="946"/>
      <c r="AI360" s="946"/>
      <c r="AJ360" s="946"/>
      <c r="AK360" s="946"/>
      <c r="AL360" s="946"/>
      <c r="AM360" s="949"/>
      <c r="AN360" s="923"/>
    </row>
    <row r="361" spans="1:53" s="866" customFormat="1" ht="12.75" customHeight="1">
      <c r="A361" s="983"/>
      <c r="B361" s="947"/>
      <c r="C361" s="1563"/>
      <c r="D361" s="1029"/>
      <c r="E361" s="1559"/>
      <c r="F361" s="1561"/>
      <c r="G361" s="1561"/>
      <c r="H361" s="1561"/>
      <c r="I361" s="1561"/>
      <c r="J361" s="1561"/>
      <c r="K361" s="1561"/>
      <c r="L361" s="1561"/>
      <c r="M361" s="1561"/>
      <c r="N361" s="1561"/>
      <c r="O361" s="1561"/>
      <c r="P361" s="1561"/>
      <c r="Q361" s="1561"/>
      <c r="R361" s="1561"/>
      <c r="S361" s="1561"/>
      <c r="T361" s="1561"/>
      <c r="U361" s="1561"/>
      <c r="V361" s="1561"/>
      <c r="W361" s="1561"/>
      <c r="X361" s="1561"/>
      <c r="Y361" s="1561"/>
      <c r="Z361" s="1561"/>
      <c r="AA361" s="1561"/>
      <c r="AB361" s="1561"/>
      <c r="AC361" s="850"/>
      <c r="AD361" s="850"/>
      <c r="AE361" s="946"/>
      <c r="AF361" s="946"/>
      <c r="AG361" s="946"/>
      <c r="AH361" s="946"/>
      <c r="AI361" s="946"/>
      <c r="AJ361" s="946"/>
      <c r="AK361" s="946"/>
      <c r="AL361" s="946"/>
      <c r="AM361" s="949"/>
      <c r="AN361" s="923"/>
    </row>
    <row r="362" spans="1:53" s="866" customFormat="1" ht="12.75" customHeight="1">
      <c r="A362" s="983"/>
      <c r="B362" s="947"/>
      <c r="C362" s="1563"/>
      <c r="D362" s="1029"/>
      <c r="E362" s="3020" t="s">
        <v>1388</v>
      </c>
      <c r="F362" s="3020"/>
      <c r="G362" s="3020"/>
      <c r="H362" s="3020"/>
      <c r="I362" s="3020"/>
      <c r="J362" s="3020"/>
      <c r="K362" s="3020"/>
      <c r="L362" s="3020"/>
      <c r="M362" s="3020"/>
      <c r="N362" s="3020"/>
      <c r="O362" s="3020"/>
      <c r="P362" s="3020"/>
      <c r="Q362" s="3020"/>
      <c r="R362" s="3020"/>
      <c r="S362" s="1561"/>
      <c r="T362" s="1561"/>
      <c r="U362" s="1561"/>
      <c r="V362" s="1561"/>
      <c r="W362" s="1561"/>
      <c r="X362" s="1561"/>
      <c r="Y362" s="1561"/>
      <c r="Z362" s="1561"/>
      <c r="AA362" s="1561"/>
      <c r="AB362" s="1561"/>
      <c r="AC362" s="850"/>
      <c r="AD362" s="850"/>
      <c r="AE362" s="946"/>
      <c r="AF362" s="946"/>
      <c r="AG362" s="946"/>
      <c r="AH362" s="946"/>
      <c r="AI362" s="946"/>
      <c r="AJ362" s="946"/>
      <c r="AK362" s="946"/>
      <c r="AL362" s="946"/>
      <c r="AM362" s="949"/>
      <c r="AN362" s="923"/>
    </row>
    <row r="363" spans="1:53" s="866" customFormat="1" ht="12.75" customHeight="1">
      <c r="A363" s="983"/>
      <c r="B363" s="947"/>
      <c r="C363" s="1563"/>
      <c r="D363" s="1029"/>
      <c r="E363" s="1559"/>
      <c r="F363" s="1561"/>
      <c r="G363" s="1561"/>
      <c r="H363" s="1561"/>
      <c r="I363" s="1561"/>
      <c r="J363" s="1561"/>
      <c r="K363" s="1561"/>
      <c r="L363" s="1561"/>
      <c r="M363" s="1561"/>
      <c r="N363" s="1561"/>
      <c r="O363" s="1561"/>
      <c r="P363" s="1561"/>
      <c r="Q363" s="1561"/>
      <c r="R363" s="1561"/>
      <c r="S363" s="1561"/>
      <c r="T363" s="1561"/>
      <c r="U363" s="1561"/>
      <c r="V363" s="1561"/>
      <c r="W363" s="1561"/>
      <c r="X363" s="1561"/>
      <c r="Y363" s="1561"/>
      <c r="Z363" s="1561"/>
      <c r="AA363" s="1561"/>
      <c r="AB363" s="1561"/>
      <c r="AC363" s="850"/>
      <c r="AD363" s="850"/>
      <c r="AE363" s="946"/>
      <c r="AF363" s="946"/>
      <c r="AG363" s="946"/>
      <c r="AH363" s="946"/>
      <c r="AI363" s="946"/>
      <c r="AJ363" s="946"/>
      <c r="AK363" s="946"/>
      <c r="AL363" s="946"/>
      <c r="AM363" s="949"/>
      <c r="AN363" s="923"/>
    </row>
    <row r="364" spans="1:53" s="925" customFormat="1" ht="12.75" customHeight="1">
      <c r="A364" s="983"/>
      <c r="B364" s="929"/>
      <c r="C364" s="1560"/>
      <c r="D364" s="1029" t="s">
        <v>1692</v>
      </c>
      <c r="E364" s="1559" t="s">
        <v>2231</v>
      </c>
      <c r="F364" s="1561"/>
      <c r="G364" s="1561"/>
      <c r="H364" s="1561"/>
      <c r="I364" s="1561"/>
      <c r="J364" s="1561"/>
      <c r="K364" s="1561"/>
      <c r="L364" s="1561"/>
      <c r="M364" s="1561"/>
      <c r="N364" s="1561"/>
      <c r="O364" s="1561"/>
      <c r="P364" s="1561"/>
      <c r="Q364" s="1561"/>
      <c r="R364" s="1561"/>
      <c r="S364" s="1561"/>
      <c r="T364" s="1561"/>
      <c r="U364" s="1561"/>
      <c r="V364" s="1561"/>
      <c r="W364" s="1561"/>
      <c r="X364" s="1561"/>
      <c r="Y364" s="1561"/>
      <c r="Z364" s="1561"/>
      <c r="AA364" s="1561"/>
      <c r="AB364" s="1561"/>
      <c r="AC364" s="850"/>
      <c r="AD364" s="850"/>
      <c r="AE364" s="853"/>
      <c r="AF364" s="2941" t="s">
        <v>1638</v>
      </c>
      <c r="AG364" s="2941"/>
      <c r="AH364" s="2941"/>
      <c r="AI364" s="2941"/>
      <c r="AJ364" s="2941"/>
      <c r="AK364" s="2941"/>
      <c r="AL364" s="2941"/>
      <c r="AM364" s="949"/>
      <c r="AN364" s="924"/>
    </row>
    <row r="365" spans="1:53" s="866" customFormat="1" ht="12.75" customHeight="1">
      <c r="A365" s="983"/>
      <c r="B365" s="929"/>
      <c r="C365" s="1560"/>
      <c r="D365" s="1029"/>
      <c r="E365" s="1559" t="s">
        <v>2230</v>
      </c>
      <c r="F365" s="1561"/>
      <c r="G365" s="1561"/>
      <c r="H365" s="1561"/>
      <c r="I365" s="1561"/>
      <c r="J365" s="1561"/>
      <c r="K365" s="1561"/>
      <c r="L365" s="1561"/>
      <c r="M365" s="1561"/>
      <c r="N365" s="1561"/>
      <c r="O365" s="1561"/>
      <c r="P365" s="1561"/>
      <c r="Q365" s="1561"/>
      <c r="R365" s="1561"/>
      <c r="S365" s="1561"/>
      <c r="T365" s="1561"/>
      <c r="U365" s="1561"/>
      <c r="V365" s="1561"/>
      <c r="W365" s="1561"/>
      <c r="X365" s="1561"/>
      <c r="Y365" s="1561"/>
      <c r="Z365" s="1561"/>
      <c r="AA365" s="1561"/>
      <c r="AB365" s="1561"/>
      <c r="AC365" s="850"/>
      <c r="AD365" s="850"/>
      <c r="AE365" s="1517"/>
      <c r="AF365" s="850"/>
      <c r="AG365" s="850"/>
      <c r="AH365" s="850"/>
      <c r="AI365" s="850"/>
      <c r="AJ365" s="850"/>
      <c r="AK365" s="850"/>
      <c r="AL365" s="850"/>
      <c r="AM365" s="949"/>
      <c r="AN365" s="923"/>
    </row>
    <row r="366" spans="1:53" s="866" customFormat="1" ht="12.75" customHeight="1">
      <c r="A366" s="983"/>
      <c r="B366" s="946"/>
      <c r="C366" s="1562"/>
      <c r="D366" s="946"/>
      <c r="E366" s="958"/>
      <c r="F366" s="1566"/>
      <c r="G366" s="1566"/>
      <c r="H366" s="1566"/>
      <c r="I366" s="1566"/>
      <c r="J366" s="1566"/>
      <c r="K366" s="1566"/>
      <c r="L366" s="1566"/>
      <c r="M366" s="1566"/>
      <c r="N366" s="1566"/>
      <c r="O366" s="1566"/>
      <c r="P366" s="1566"/>
      <c r="Q366" s="1566"/>
      <c r="R366" s="1566"/>
      <c r="S366" s="1566"/>
      <c r="T366" s="1566"/>
      <c r="U366" s="1566"/>
      <c r="V366" s="1566"/>
      <c r="W366" s="1566"/>
      <c r="X366" s="1566"/>
      <c r="Y366" s="1566"/>
      <c r="Z366" s="1566"/>
      <c r="AA366" s="1566"/>
      <c r="AB366" s="1566"/>
      <c r="AC366" s="946"/>
      <c r="AD366" s="946"/>
      <c r="AE366" s="946"/>
      <c r="AF366" s="946"/>
      <c r="AG366" s="946"/>
      <c r="AH366" s="946"/>
      <c r="AI366" s="946"/>
      <c r="AJ366" s="850"/>
      <c r="AK366" s="929"/>
      <c r="AL366" s="929"/>
      <c r="AM366" s="949"/>
      <c r="AN366" s="923"/>
      <c r="AO366" s="866" t="s">
        <v>628</v>
      </c>
      <c r="AP366" s="1043">
        <v>0</v>
      </c>
      <c r="AT366" s="866" t="s">
        <v>628</v>
      </c>
      <c r="AU366" s="1043">
        <v>0</v>
      </c>
    </row>
    <row r="367" spans="1:53" s="866" customFormat="1" ht="12.75" customHeight="1">
      <c r="A367" s="983"/>
      <c r="B367" s="946"/>
      <c r="C367" s="1562"/>
      <c r="D367" s="946" t="s">
        <v>1694</v>
      </c>
      <c r="E367" s="1566"/>
      <c r="F367" s="1566"/>
      <c r="G367" s="1566"/>
      <c r="H367" s="3018" t="s">
        <v>1691</v>
      </c>
      <c r="I367" s="3018"/>
      <c r="J367" s="1566"/>
      <c r="K367" s="1566"/>
      <c r="L367" s="1566"/>
      <c r="M367" s="1566"/>
      <c r="N367" s="850"/>
      <c r="O367" s="850"/>
      <c r="P367" s="850"/>
      <c r="Q367" s="850"/>
      <c r="R367" s="850"/>
      <c r="S367" s="850"/>
      <c r="T367" s="850"/>
      <c r="U367" s="850"/>
      <c r="V367" s="850"/>
      <c r="W367" s="850"/>
      <c r="X367" s="850"/>
      <c r="Y367" s="850"/>
      <c r="Z367" s="850"/>
      <c r="AA367" s="850"/>
      <c r="AB367" s="850"/>
      <c r="AC367" s="850"/>
      <c r="AD367" s="850"/>
      <c r="AE367" s="850"/>
      <c r="AF367" s="850"/>
      <c r="AG367" s="850"/>
      <c r="AH367" s="850"/>
      <c r="AI367" s="850"/>
      <c r="AJ367" s="850"/>
      <c r="AK367" s="850"/>
      <c r="AL367" s="850"/>
      <c r="AN367" s="923"/>
      <c r="AO367" s="1041" t="s">
        <v>727</v>
      </c>
      <c r="AP367" s="866">
        <v>3</v>
      </c>
      <c r="AT367" s="1041" t="s">
        <v>727</v>
      </c>
      <c r="AU367" s="866">
        <v>3</v>
      </c>
    </row>
    <row r="368" spans="1:53" s="866" customFormat="1" ht="12.75" customHeight="1">
      <c r="A368" s="983"/>
      <c r="B368" s="946"/>
      <c r="C368" s="1562"/>
      <c r="D368" s="946"/>
      <c r="E368" s="1566"/>
      <c r="F368" s="1566"/>
      <c r="G368" s="1566"/>
      <c r="H368" s="1566"/>
      <c r="I368" s="1566"/>
      <c r="J368" s="1566"/>
      <c r="K368" s="1566"/>
      <c r="L368" s="1566"/>
      <c r="M368" s="1566"/>
      <c r="N368" s="850"/>
      <c r="O368" s="850"/>
      <c r="P368" s="850"/>
      <c r="Q368" s="850"/>
      <c r="R368" s="850"/>
      <c r="S368" s="850"/>
      <c r="T368" s="850"/>
      <c r="U368" s="850"/>
      <c r="V368" s="850"/>
      <c r="W368" s="850"/>
      <c r="X368" s="850"/>
      <c r="Y368" s="850"/>
      <c r="Z368" s="850"/>
      <c r="AA368" s="850"/>
      <c r="AB368" s="850"/>
      <c r="AC368" s="850"/>
      <c r="AD368" s="850"/>
      <c r="AE368" s="850"/>
      <c r="AF368" s="850"/>
      <c r="AG368" s="850"/>
      <c r="AH368" s="850"/>
      <c r="AI368" s="850"/>
      <c r="AJ368" s="850"/>
      <c r="AK368" s="850"/>
      <c r="AL368" s="850"/>
      <c r="AN368" s="923"/>
      <c r="AO368" s="1041" t="s">
        <v>544</v>
      </c>
      <c r="AP368" s="866">
        <v>2</v>
      </c>
      <c r="AT368" s="1041" t="s">
        <v>544</v>
      </c>
      <c r="AU368" s="866">
        <v>2</v>
      </c>
    </row>
    <row r="369" spans="1:46" s="866" customFormat="1" ht="12.75" customHeight="1">
      <c r="A369" s="983"/>
      <c r="B369" s="946"/>
      <c r="C369" s="1562"/>
      <c r="D369" s="946"/>
      <c r="E369" s="1566"/>
      <c r="F369" s="1566"/>
      <c r="G369" s="1566"/>
      <c r="H369" s="1566"/>
      <c r="I369" s="1566"/>
      <c r="J369" s="1566"/>
      <c r="K369" s="1566"/>
      <c r="L369" s="1566"/>
      <c r="M369" s="1566"/>
      <c r="N369" s="850"/>
      <c r="O369" s="850"/>
      <c r="P369" s="850"/>
      <c r="Q369" s="850"/>
      <c r="R369" s="850"/>
      <c r="S369" s="850"/>
      <c r="T369" s="850"/>
      <c r="U369" s="850"/>
      <c r="V369" s="850"/>
      <c r="W369" s="850"/>
      <c r="X369" s="850"/>
      <c r="Y369" s="850"/>
      <c r="Z369" s="850"/>
      <c r="AA369" s="850"/>
      <c r="AB369" s="850"/>
      <c r="AC369" s="850"/>
      <c r="AD369" s="850"/>
      <c r="AE369" s="850"/>
      <c r="AF369" s="850"/>
      <c r="AG369" s="850"/>
      <c r="AH369" s="850"/>
      <c r="AI369" s="850"/>
      <c r="AJ369" s="850"/>
      <c r="AK369" s="850"/>
      <c r="AL369" s="850"/>
      <c r="AN369" s="923"/>
      <c r="AO369" s="1041"/>
      <c r="AT369" s="1041"/>
    </row>
    <row r="370" spans="1:46" s="866" customFormat="1" ht="12.75" customHeight="1">
      <c r="A370" s="983"/>
      <c r="B370" s="946"/>
      <c r="C370" s="1562"/>
      <c r="D370" s="946" t="s">
        <v>2232</v>
      </c>
      <c r="E370" s="1566"/>
      <c r="F370" s="1566"/>
      <c r="G370" s="1566"/>
      <c r="H370" s="1566"/>
      <c r="I370" s="1566"/>
      <c r="J370" s="1566"/>
      <c r="K370" s="1566"/>
      <c r="L370" s="1566"/>
      <c r="M370" s="1566"/>
      <c r="N370" s="850"/>
      <c r="O370" s="850"/>
      <c r="P370" s="850"/>
      <c r="Q370" s="850"/>
      <c r="R370" s="850"/>
      <c r="S370" s="850"/>
      <c r="T370" s="850"/>
      <c r="U370" s="850"/>
      <c r="V370" s="850"/>
      <c r="W370" s="850"/>
      <c r="X370" s="850"/>
      <c r="Y370" s="850"/>
      <c r="Z370" s="850"/>
      <c r="AA370" s="850"/>
      <c r="AB370" s="850"/>
      <c r="AC370" s="850"/>
      <c r="AD370" s="850"/>
      <c r="AE370" s="850"/>
      <c r="AF370" s="850"/>
      <c r="AG370" s="850"/>
      <c r="AH370" s="850"/>
      <c r="AI370" s="850"/>
      <c r="AJ370" s="850"/>
      <c r="AK370" s="850"/>
      <c r="AL370" s="850"/>
      <c r="AN370" s="923"/>
    </row>
    <row r="371" spans="1:46" s="866" customFormat="1" ht="12.75" customHeight="1">
      <c r="A371" s="983"/>
      <c r="B371" s="946"/>
      <c r="C371" s="1562"/>
      <c r="D371" s="946" t="s">
        <v>2233</v>
      </c>
      <c r="E371" s="1566"/>
      <c r="F371" s="1566"/>
      <c r="G371" s="1566"/>
      <c r="H371" s="1566"/>
      <c r="I371" s="1566"/>
      <c r="J371" s="1566"/>
      <c r="K371" s="1566"/>
      <c r="L371" s="1566"/>
      <c r="M371" s="1566"/>
      <c r="N371" s="850"/>
      <c r="O371" s="850"/>
      <c r="P371" s="850"/>
      <c r="Q371" s="850"/>
      <c r="R371" s="850"/>
      <c r="S371" s="850"/>
      <c r="T371" s="850"/>
      <c r="U371" s="850"/>
      <c r="V371" s="850"/>
      <c r="W371" s="850"/>
      <c r="X371" s="850"/>
      <c r="Y371" s="850"/>
      <c r="Z371" s="850"/>
      <c r="AA371" s="850"/>
      <c r="AB371" s="850"/>
      <c r="AC371" s="850"/>
      <c r="AD371" s="850"/>
      <c r="AE371" s="850"/>
      <c r="AF371" s="850"/>
      <c r="AG371" s="850"/>
      <c r="AH371" s="850"/>
      <c r="AI371" s="850"/>
      <c r="AJ371" s="850"/>
      <c r="AK371" s="850"/>
      <c r="AL371" s="850"/>
      <c r="AN371" s="923"/>
    </row>
    <row r="372" spans="1:46" s="866" customFormat="1" ht="12.75" customHeight="1">
      <c r="A372" s="983"/>
      <c r="B372" s="946"/>
      <c r="C372" s="1562"/>
      <c r="D372" s="946" t="s">
        <v>2234</v>
      </c>
      <c r="E372" s="1566"/>
      <c r="F372" s="1566"/>
      <c r="G372" s="1566"/>
      <c r="H372" s="1566"/>
      <c r="I372" s="1566"/>
      <c r="J372" s="1566"/>
      <c r="K372" s="1566"/>
      <c r="L372" s="1566"/>
      <c r="M372" s="1566"/>
      <c r="N372" s="850"/>
      <c r="O372" s="850"/>
      <c r="P372" s="850"/>
      <c r="Q372" s="850"/>
      <c r="R372" s="850"/>
      <c r="S372" s="850"/>
      <c r="T372" s="850"/>
      <c r="U372" s="850"/>
      <c r="V372" s="850"/>
      <c r="W372" s="850"/>
      <c r="X372" s="850"/>
      <c r="Y372" s="850"/>
      <c r="Z372" s="850"/>
      <c r="AA372" s="850"/>
      <c r="AB372" s="850"/>
      <c r="AC372" s="850"/>
      <c r="AD372" s="850"/>
      <c r="AE372" s="850"/>
      <c r="AF372" s="850"/>
      <c r="AG372" s="850"/>
      <c r="AH372" s="850"/>
      <c r="AI372" s="850"/>
      <c r="AJ372" s="850"/>
      <c r="AK372" s="850"/>
      <c r="AL372" s="850"/>
      <c r="AN372" s="923"/>
    </row>
    <row r="373" spans="1:46" s="866" customFormat="1" ht="12.75" customHeight="1">
      <c r="A373" s="983"/>
      <c r="B373" s="946"/>
      <c r="C373" s="1562"/>
      <c r="D373" s="939" t="s">
        <v>2235</v>
      </c>
      <c r="E373" s="1566"/>
      <c r="F373" s="1566"/>
      <c r="G373" s="1566"/>
      <c r="H373" s="1566"/>
      <c r="I373" s="1566"/>
      <c r="J373" s="1566"/>
      <c r="K373" s="1566"/>
      <c r="L373" s="1566"/>
      <c r="M373" s="1566"/>
      <c r="N373" s="850"/>
      <c r="O373" s="850"/>
      <c r="P373" s="850"/>
      <c r="Q373" s="850"/>
      <c r="R373" s="850"/>
      <c r="S373" s="850"/>
      <c r="T373" s="850"/>
      <c r="U373" s="850"/>
      <c r="V373" s="850"/>
      <c r="W373" s="850"/>
      <c r="X373" s="850"/>
      <c r="Y373" s="850"/>
      <c r="Z373" s="850"/>
      <c r="AA373" s="850"/>
      <c r="AB373" s="850"/>
      <c r="AC373" s="850"/>
      <c r="AD373" s="850"/>
      <c r="AE373" s="850"/>
      <c r="AF373" s="850"/>
      <c r="AG373" s="850"/>
      <c r="AH373" s="850"/>
      <c r="AI373" s="850"/>
      <c r="AJ373" s="850"/>
      <c r="AK373" s="850"/>
      <c r="AL373" s="850"/>
      <c r="AN373" s="923"/>
    </row>
    <row r="374" spans="1:46" s="866" customFormat="1" ht="12.75" customHeight="1">
      <c r="A374" s="983"/>
      <c r="B374" s="946"/>
      <c r="C374" s="1562"/>
      <c r="D374" s="946"/>
      <c r="E374" s="946"/>
      <c r="F374" s="850"/>
      <c r="G374" s="850"/>
      <c r="H374" s="850"/>
      <c r="I374" s="850"/>
      <c r="J374" s="850"/>
      <c r="K374" s="850"/>
      <c r="L374" s="850"/>
      <c r="M374" s="850"/>
      <c r="N374" s="850"/>
      <c r="O374" s="850"/>
      <c r="P374" s="850"/>
      <c r="Q374" s="850"/>
      <c r="R374" s="850"/>
      <c r="S374" s="850"/>
      <c r="T374" s="850"/>
      <c r="U374" s="850"/>
      <c r="V374" s="850"/>
      <c r="W374" s="850"/>
      <c r="X374" s="850"/>
      <c r="Y374" s="850"/>
      <c r="Z374" s="850"/>
      <c r="AA374" s="850"/>
      <c r="AB374" s="850"/>
      <c r="AC374" s="850"/>
      <c r="AD374" s="850"/>
      <c r="AE374" s="850"/>
      <c r="AF374" s="850"/>
      <c r="AG374" s="850"/>
      <c r="AH374" s="850"/>
      <c r="AI374" s="850"/>
      <c r="AJ374" s="850"/>
      <c r="AK374" s="850"/>
      <c r="AL374" s="850"/>
      <c r="AN374" s="923"/>
      <c r="AO374" s="866" t="s">
        <v>628</v>
      </c>
      <c r="AP374" s="1043">
        <v>0</v>
      </c>
    </row>
    <row r="375" spans="1:46" s="866" customFormat="1" ht="12.75" customHeight="1">
      <c r="A375" s="983"/>
      <c r="B375" s="946"/>
      <c r="C375" s="1562"/>
      <c r="D375" s="946"/>
      <c r="E375" s="946" t="s">
        <v>1694</v>
      </c>
      <c r="F375" s="1566"/>
      <c r="G375" s="1566"/>
      <c r="I375" s="3021" t="s">
        <v>628</v>
      </c>
      <c r="J375" s="3021"/>
      <c r="K375" s="3021"/>
      <c r="L375" s="3021"/>
      <c r="M375" s="3021"/>
      <c r="N375" s="3021"/>
      <c r="O375" s="3021"/>
      <c r="P375" s="3021"/>
      <c r="Q375" s="3021"/>
      <c r="R375" s="3021"/>
      <c r="S375" s="3021"/>
      <c r="T375" s="3021"/>
      <c r="U375" s="3021"/>
      <c r="V375" s="3021"/>
      <c r="W375" s="3021"/>
      <c r="X375" s="3021"/>
      <c r="Y375" s="3021"/>
      <c r="Z375" s="3021"/>
      <c r="AA375" s="3021"/>
      <c r="AB375" s="3021"/>
      <c r="AC375" s="3021"/>
      <c r="AD375" s="3021"/>
      <c r="AE375" s="3021"/>
      <c r="AF375" s="850"/>
      <c r="AG375" s="850"/>
      <c r="AH375" s="850"/>
      <c r="AI375" s="850"/>
      <c r="AJ375" s="850"/>
      <c r="AK375" s="850"/>
      <c r="AL375" s="850"/>
      <c r="AN375" s="923"/>
      <c r="AO375" s="866" t="s">
        <v>1695</v>
      </c>
      <c r="AP375" s="866">
        <v>3</v>
      </c>
    </row>
    <row r="376" spans="1:46" s="925" customFormat="1" ht="12.75" customHeight="1">
      <c r="A376" s="983"/>
      <c r="B376" s="853"/>
      <c r="C376" s="853"/>
      <c r="D376" s="946"/>
      <c r="E376" s="853"/>
      <c r="F376" s="1001"/>
      <c r="G376" s="1001"/>
      <c r="H376" s="1001"/>
      <c r="I376" s="1001"/>
      <c r="J376" s="1001"/>
      <c r="K376" s="1001"/>
      <c r="L376" s="1001"/>
      <c r="M376" s="1001"/>
      <c r="N376" s="1001"/>
      <c r="O376" s="1001"/>
      <c r="P376" s="1001"/>
      <c r="Q376" s="1001"/>
      <c r="R376" s="1001"/>
      <c r="S376" s="1001"/>
      <c r="T376" s="1001"/>
      <c r="U376" s="1001"/>
      <c r="V376" s="1001"/>
      <c r="W376" s="1001"/>
      <c r="X376" s="1001"/>
      <c r="Y376" s="1001"/>
      <c r="Z376" s="1001"/>
      <c r="AA376" s="1001"/>
      <c r="AB376" s="1001"/>
      <c r="AC376" s="1001"/>
      <c r="AD376" s="1001"/>
      <c r="AE376" s="1001"/>
      <c r="AF376" s="1567"/>
      <c r="AG376" s="1567"/>
      <c r="AH376" s="1567"/>
      <c r="AI376" s="1567"/>
      <c r="AJ376" s="1567"/>
      <c r="AK376" s="1567"/>
      <c r="AL376" s="1567"/>
      <c r="AM376" s="866"/>
      <c r="AN376" s="924"/>
      <c r="AO376" s="866" t="s">
        <v>1696</v>
      </c>
      <c r="AP376" s="866">
        <v>2</v>
      </c>
    </row>
    <row r="377" spans="1:46" s="866" customFormat="1" ht="12.75" customHeight="1">
      <c r="A377" s="983"/>
      <c r="B377" s="2968" t="s">
        <v>628</v>
      </c>
      <c r="C377" s="2968"/>
      <c r="D377" s="1567"/>
      <c r="E377" s="2999" t="s">
        <v>1697</v>
      </c>
      <c r="F377" s="2999"/>
      <c r="G377" s="2999"/>
      <c r="H377" s="2999"/>
      <c r="I377" s="2999"/>
      <c r="J377" s="2999"/>
      <c r="K377" s="2999"/>
      <c r="L377" s="2999"/>
      <c r="M377" s="2999"/>
      <c r="N377" s="2999"/>
      <c r="O377" s="2999"/>
      <c r="P377" s="2999"/>
      <c r="Q377" s="2999"/>
      <c r="R377" s="2999"/>
      <c r="S377" s="2999"/>
      <c r="T377" s="2999"/>
      <c r="U377" s="2999"/>
      <c r="V377" s="2999"/>
      <c r="W377" s="2999"/>
      <c r="X377" s="2999"/>
      <c r="Y377" s="2999"/>
      <c r="Z377" s="2999"/>
      <c r="AA377" s="2999"/>
      <c r="AB377" s="2999"/>
      <c r="AC377" s="2999"/>
      <c r="AD377" s="2999"/>
      <c r="AE377" s="2999"/>
      <c r="AF377" s="2999"/>
      <c r="AG377" s="2999"/>
      <c r="AH377" s="1567"/>
      <c r="AI377" s="1567"/>
      <c r="AJ377" s="1567"/>
      <c r="AK377" s="1567"/>
      <c r="AL377" s="1567"/>
      <c r="AN377" s="923"/>
    </row>
    <row r="378" spans="1:46" s="866" customFormat="1" ht="12.75" customHeight="1">
      <c r="A378" s="983"/>
      <c r="B378" s="946"/>
      <c r="C378" s="1562"/>
      <c r="D378" s="1567"/>
      <c r="E378" s="2999"/>
      <c r="F378" s="2999"/>
      <c r="G378" s="2999"/>
      <c r="H378" s="2999"/>
      <c r="I378" s="2999"/>
      <c r="J378" s="2999"/>
      <c r="K378" s="2999"/>
      <c r="L378" s="2999"/>
      <c r="M378" s="2999"/>
      <c r="N378" s="2999"/>
      <c r="O378" s="2999"/>
      <c r="P378" s="2999"/>
      <c r="Q378" s="2999"/>
      <c r="R378" s="2999"/>
      <c r="S378" s="2999"/>
      <c r="T378" s="2999"/>
      <c r="U378" s="2999"/>
      <c r="V378" s="2999"/>
      <c r="W378" s="2999"/>
      <c r="X378" s="2999"/>
      <c r="Y378" s="2999"/>
      <c r="Z378" s="2999"/>
      <c r="AA378" s="2999"/>
      <c r="AB378" s="2999"/>
      <c r="AC378" s="2999"/>
      <c r="AD378" s="2999"/>
      <c r="AE378" s="2999"/>
      <c r="AF378" s="2999"/>
      <c r="AG378" s="2999"/>
      <c r="AH378" s="1567"/>
      <c r="AI378" s="1567"/>
      <c r="AJ378" s="1567"/>
      <c r="AK378" s="1567"/>
      <c r="AL378" s="1567"/>
      <c r="AN378" s="923"/>
    </row>
    <row r="379" spans="1:46" s="866" customFormat="1" ht="12.75" customHeight="1">
      <c r="A379" s="983"/>
      <c r="B379" s="946"/>
      <c r="C379" s="1562"/>
      <c r="D379" s="1567"/>
      <c r="E379" s="2999"/>
      <c r="F379" s="2999"/>
      <c r="G379" s="2999"/>
      <c r="H379" s="2999"/>
      <c r="I379" s="2999"/>
      <c r="J379" s="2999"/>
      <c r="K379" s="2999"/>
      <c r="L379" s="2999"/>
      <c r="M379" s="2999"/>
      <c r="N379" s="2999"/>
      <c r="O379" s="2999"/>
      <c r="P379" s="2999"/>
      <c r="Q379" s="2999"/>
      <c r="R379" s="2999"/>
      <c r="S379" s="2999"/>
      <c r="T379" s="2999"/>
      <c r="U379" s="2999"/>
      <c r="V379" s="2999"/>
      <c r="W379" s="2999"/>
      <c r="X379" s="2999"/>
      <c r="Y379" s="2999"/>
      <c r="Z379" s="2999"/>
      <c r="AA379" s="2999"/>
      <c r="AB379" s="2999"/>
      <c r="AC379" s="2999"/>
      <c r="AD379" s="2999"/>
      <c r="AE379" s="2999"/>
      <c r="AF379" s="2999"/>
      <c r="AG379" s="2999"/>
      <c r="AH379" s="1567"/>
      <c r="AI379" s="1567"/>
      <c r="AJ379" s="1567"/>
      <c r="AK379" s="1567"/>
      <c r="AL379" s="1567"/>
      <c r="AN379" s="923"/>
    </row>
    <row r="380" spans="1:46" s="866" customFormat="1" ht="12.75" customHeight="1">
      <c r="A380" s="983"/>
      <c r="B380" s="946"/>
      <c r="C380" s="1562"/>
      <c r="D380" s="1569"/>
      <c r="E380" s="2999"/>
      <c r="F380" s="2999"/>
      <c r="G380" s="2999"/>
      <c r="H380" s="2999"/>
      <c r="I380" s="2999"/>
      <c r="J380" s="2999"/>
      <c r="K380" s="2999"/>
      <c r="L380" s="2999"/>
      <c r="M380" s="2999"/>
      <c r="N380" s="2999"/>
      <c r="O380" s="2999"/>
      <c r="P380" s="2999"/>
      <c r="Q380" s="2999"/>
      <c r="R380" s="2999"/>
      <c r="S380" s="2999"/>
      <c r="T380" s="2999"/>
      <c r="U380" s="2999"/>
      <c r="V380" s="2999"/>
      <c r="W380" s="2999"/>
      <c r="X380" s="2999"/>
      <c r="Y380" s="2999"/>
      <c r="Z380" s="2999"/>
      <c r="AA380" s="2999"/>
      <c r="AB380" s="2999"/>
      <c r="AC380" s="2999"/>
      <c r="AD380" s="2999"/>
      <c r="AE380" s="2999"/>
      <c r="AF380" s="2999"/>
      <c r="AG380" s="2999"/>
      <c r="AH380" s="1569"/>
      <c r="AI380" s="1569"/>
      <c r="AJ380" s="1569"/>
      <c r="AK380" s="1569"/>
      <c r="AL380" s="1569"/>
      <c r="AN380" s="923"/>
    </row>
    <row r="381" spans="1:46" s="866" customFormat="1" ht="12.75" customHeight="1">
      <c r="A381" s="983"/>
      <c r="B381" s="946"/>
      <c r="C381" s="1562"/>
      <c r="D381" s="1568"/>
      <c r="E381" s="1592"/>
      <c r="F381" s="1592"/>
      <c r="G381" s="1592"/>
      <c r="H381" s="1592"/>
      <c r="I381" s="1592"/>
      <c r="J381" s="1592"/>
      <c r="K381" s="1592"/>
      <c r="L381" s="1592"/>
      <c r="M381" s="1592"/>
      <c r="N381" s="1592"/>
      <c r="O381" s="1592"/>
      <c r="P381" s="1592"/>
      <c r="Q381" s="1592"/>
      <c r="R381" s="1592"/>
      <c r="S381" s="1592"/>
      <c r="T381" s="1592"/>
      <c r="U381" s="1592"/>
      <c r="V381" s="1592"/>
      <c r="W381" s="1592"/>
      <c r="X381" s="1592"/>
      <c r="Y381" s="1592"/>
      <c r="Z381" s="1592"/>
      <c r="AA381" s="1592"/>
      <c r="AB381" s="1592"/>
      <c r="AC381" s="1592"/>
      <c r="AD381" s="1592"/>
      <c r="AE381" s="1592"/>
      <c r="AF381" s="1592"/>
      <c r="AG381" s="1592"/>
      <c r="AH381" s="1568"/>
      <c r="AI381" s="1568"/>
      <c r="AJ381" s="1568"/>
      <c r="AK381" s="1568"/>
      <c r="AL381" s="1569"/>
      <c r="AN381" s="923"/>
    </row>
    <row r="382" spans="1:46" s="866" customFormat="1" ht="12.75" customHeight="1">
      <c r="A382" s="994"/>
      <c r="B382" s="942"/>
      <c r="C382" s="1570"/>
      <c r="D382" s="942"/>
      <c r="E382" s="1571"/>
      <c r="F382" s="1571"/>
      <c r="G382" s="1571"/>
      <c r="H382" s="1571"/>
      <c r="I382" s="1571"/>
      <c r="J382" s="1571"/>
      <c r="K382" s="1571"/>
      <c r="L382" s="1571"/>
      <c r="M382" s="1571"/>
      <c r="N382" s="1571"/>
      <c r="O382" s="1571"/>
      <c r="P382" s="1571"/>
      <c r="Q382" s="1571"/>
      <c r="R382" s="1571"/>
      <c r="S382" s="1571"/>
      <c r="T382" s="1571"/>
      <c r="U382" s="1571"/>
      <c r="V382" s="1571"/>
      <c r="W382" s="1571"/>
      <c r="X382" s="1571"/>
      <c r="Y382" s="1571"/>
      <c r="Z382" s="1571"/>
      <c r="AA382" s="1571"/>
      <c r="AB382" s="942"/>
      <c r="AC382" s="942"/>
      <c r="AD382" s="942"/>
      <c r="AE382" s="942"/>
      <c r="AF382" s="942"/>
      <c r="AG382" s="942"/>
      <c r="AH382" s="942"/>
      <c r="AI382" s="882" t="s">
        <v>1698</v>
      </c>
      <c r="AJ382" s="2980">
        <f>VLOOKUP($H$367,$AO$347:$AP$352,2,FALSE)+VLOOKUP($I$375,$AO$374:$AP$376,2,FALSE)</f>
        <v>4</v>
      </c>
      <c r="AK382" s="2982"/>
      <c r="AL382" s="928"/>
      <c r="AM382" s="1045"/>
      <c r="AN382" s="923"/>
    </row>
    <row r="383" spans="1:46" s="866" customFormat="1" ht="12.75" customHeight="1">
      <c r="A383" s="983"/>
      <c r="B383" s="946"/>
      <c r="C383" s="1562"/>
      <c r="D383" s="946"/>
      <c r="E383" s="1566"/>
      <c r="F383" s="1566"/>
      <c r="G383" s="1566"/>
      <c r="H383" s="1566"/>
      <c r="I383" s="1566"/>
      <c r="J383" s="1566"/>
      <c r="K383" s="1566"/>
      <c r="L383" s="1566"/>
      <c r="M383" s="1566"/>
      <c r="N383" s="1566"/>
      <c r="O383" s="1566"/>
      <c r="P383" s="1566"/>
      <c r="Q383" s="1566"/>
      <c r="R383" s="1566"/>
      <c r="S383" s="1566"/>
      <c r="T383" s="1566"/>
      <c r="U383" s="1566"/>
      <c r="V383" s="1566"/>
      <c r="W383" s="1566"/>
      <c r="X383" s="1566"/>
      <c r="Y383" s="1566"/>
      <c r="Z383" s="1566"/>
      <c r="AA383" s="1566"/>
      <c r="AB383" s="1566"/>
      <c r="AC383" s="946"/>
      <c r="AD383" s="946"/>
      <c r="AE383" s="1566"/>
      <c r="AF383" s="1566"/>
      <c r="AG383" s="1566"/>
      <c r="AH383" s="1566"/>
      <c r="AI383" s="1566"/>
      <c r="AJ383" s="1566"/>
      <c r="AK383" s="1566"/>
      <c r="AL383" s="1566"/>
      <c r="AM383" s="1045"/>
      <c r="AN383" s="923"/>
    </row>
    <row r="384" spans="1:46" s="866" customFormat="1" ht="12.75" customHeight="1">
      <c r="A384" s="983"/>
      <c r="B384" s="946"/>
      <c r="C384" s="909" t="s">
        <v>1699</v>
      </c>
      <c r="D384" s="935"/>
      <c r="E384" s="1566"/>
      <c r="F384" s="1566"/>
      <c r="G384" s="1566"/>
      <c r="H384" s="1566"/>
      <c r="I384" s="1566"/>
      <c r="J384" s="1566"/>
      <c r="K384" s="1566"/>
      <c r="L384" s="1566"/>
      <c r="M384" s="1566"/>
      <c r="N384" s="1566"/>
      <c r="O384" s="1566"/>
      <c r="P384" s="1566"/>
      <c r="Q384" s="1566"/>
      <c r="R384" s="1566"/>
      <c r="S384" s="1566"/>
      <c r="T384" s="1566"/>
      <c r="U384" s="1566"/>
      <c r="V384" s="1566"/>
      <c r="W384" s="1566"/>
      <c r="X384" s="1566"/>
      <c r="Y384" s="1566"/>
      <c r="Z384" s="1566"/>
      <c r="AA384" s="1566"/>
      <c r="AB384" s="1566"/>
      <c r="AC384" s="946"/>
      <c r="AD384" s="946"/>
      <c r="AE384" s="946"/>
      <c r="AF384" s="946"/>
      <c r="AG384" s="946"/>
      <c r="AH384" s="914"/>
      <c r="AI384" s="946"/>
      <c r="AJ384" s="946"/>
      <c r="AK384" s="946"/>
      <c r="AL384" s="946"/>
      <c r="AM384" s="983"/>
      <c r="AN384" s="923"/>
    </row>
    <row r="385" spans="1:42" s="866" customFormat="1" ht="12.75" customHeight="1">
      <c r="A385" s="983"/>
      <c r="B385" s="947"/>
      <c r="C385" s="850"/>
      <c r="D385" s="1565"/>
      <c r="E385" s="1566"/>
      <c r="F385" s="1566"/>
      <c r="G385" s="1566"/>
      <c r="H385" s="1566"/>
      <c r="I385" s="1566"/>
      <c r="J385" s="1566"/>
      <c r="K385" s="1566"/>
      <c r="L385" s="1566"/>
      <c r="M385" s="1566"/>
      <c r="N385" s="1566"/>
      <c r="O385" s="1566"/>
      <c r="P385" s="1566"/>
      <c r="Q385" s="1566"/>
      <c r="R385" s="1566"/>
      <c r="S385" s="1566"/>
      <c r="T385" s="1566"/>
      <c r="U385" s="1566"/>
      <c r="V385" s="1566"/>
      <c r="W385" s="1566"/>
      <c r="X385" s="1566"/>
      <c r="Y385" s="1566"/>
      <c r="Z385" s="1566"/>
      <c r="AA385" s="1566"/>
      <c r="AB385" s="1566"/>
      <c r="AC385" s="946"/>
      <c r="AD385" s="946"/>
      <c r="AE385" s="850"/>
      <c r="AF385" s="850"/>
      <c r="AG385" s="850"/>
      <c r="AH385" s="850"/>
      <c r="AI385" s="850"/>
      <c r="AJ385" s="850"/>
      <c r="AK385" s="850"/>
      <c r="AL385" s="850"/>
      <c r="AM385" s="949"/>
      <c r="AN385" s="923"/>
    </row>
    <row r="386" spans="1:42" s="916" customFormat="1" ht="12.75" customHeight="1">
      <c r="A386" s="983"/>
      <c r="B386" s="850"/>
      <c r="C386" s="850"/>
      <c r="D386" s="1029" t="s">
        <v>727</v>
      </c>
      <c r="E386" s="3019" t="s">
        <v>2211</v>
      </c>
      <c r="F386" s="3019"/>
      <c r="G386" s="3019"/>
      <c r="H386" s="3019"/>
      <c r="I386" s="3019"/>
      <c r="J386" s="3019"/>
      <c r="K386" s="3019"/>
      <c r="L386" s="3019"/>
      <c r="M386" s="3019"/>
      <c r="N386" s="3019"/>
      <c r="O386" s="3019"/>
      <c r="P386" s="3019"/>
      <c r="Q386" s="3019"/>
      <c r="R386" s="3019"/>
      <c r="S386" s="3019"/>
      <c r="T386" s="3019"/>
      <c r="U386" s="3019"/>
      <c r="V386" s="3019"/>
      <c r="W386" s="3019"/>
      <c r="X386" s="3019"/>
      <c r="Y386" s="3019"/>
      <c r="Z386" s="3019"/>
      <c r="AA386" s="3019"/>
      <c r="AB386" s="3019"/>
      <c r="AC386" s="3019"/>
      <c r="AD386" s="3019"/>
      <c r="AE386" s="855"/>
      <c r="AF386" s="2941" t="s">
        <v>1638</v>
      </c>
      <c r="AG386" s="2941"/>
      <c r="AH386" s="2941"/>
      <c r="AI386" s="2941"/>
      <c r="AJ386" s="2941"/>
      <c r="AK386" s="2941"/>
      <c r="AL386" s="2941"/>
      <c r="AM386" s="949"/>
      <c r="AN386" s="1048"/>
    </row>
    <row r="387" spans="1:42" s="866" customFormat="1" ht="12.75" customHeight="1">
      <c r="A387" s="1049"/>
      <c r="B387" s="946"/>
      <c r="C387" s="1562"/>
      <c r="D387" s="1029"/>
      <c r="E387" s="3019"/>
      <c r="F387" s="3019"/>
      <c r="G387" s="3019"/>
      <c r="H387" s="3019"/>
      <c r="I387" s="3019"/>
      <c r="J387" s="3019"/>
      <c r="K387" s="3019"/>
      <c r="L387" s="3019"/>
      <c r="M387" s="3019"/>
      <c r="N387" s="3019"/>
      <c r="O387" s="3019"/>
      <c r="P387" s="3019"/>
      <c r="Q387" s="3019"/>
      <c r="R387" s="3019"/>
      <c r="S387" s="3019"/>
      <c r="T387" s="3019"/>
      <c r="U387" s="3019"/>
      <c r="V387" s="3019"/>
      <c r="W387" s="3019"/>
      <c r="X387" s="3019"/>
      <c r="Y387" s="3019"/>
      <c r="Z387" s="3019"/>
      <c r="AA387" s="3019"/>
      <c r="AB387" s="3019"/>
      <c r="AC387" s="3019"/>
      <c r="AD387" s="3019"/>
      <c r="AE387" s="929"/>
      <c r="AF387" s="929"/>
      <c r="AG387" s="929"/>
      <c r="AH387" s="929"/>
      <c r="AI387" s="929"/>
      <c r="AJ387" s="929"/>
      <c r="AK387" s="929"/>
      <c r="AL387" s="929"/>
      <c r="AM387" s="949"/>
      <c r="AN387" s="923"/>
    </row>
    <row r="388" spans="1:42" s="866" customFormat="1" ht="12.75" customHeight="1">
      <c r="A388" s="983"/>
      <c r="B388" s="946"/>
      <c r="C388" s="1563"/>
      <c r="D388" s="1029"/>
      <c r="E388" s="3019"/>
      <c r="F388" s="3019"/>
      <c r="G388" s="3019"/>
      <c r="H388" s="3019"/>
      <c r="I388" s="3019"/>
      <c r="J388" s="3019"/>
      <c r="K388" s="3019"/>
      <c r="L388" s="3019"/>
      <c r="M388" s="3019"/>
      <c r="N388" s="3019"/>
      <c r="O388" s="3019"/>
      <c r="P388" s="3019"/>
      <c r="Q388" s="3019"/>
      <c r="R388" s="3019"/>
      <c r="S388" s="3019"/>
      <c r="T388" s="3019"/>
      <c r="U388" s="3019"/>
      <c r="V388" s="3019"/>
      <c r="W388" s="3019"/>
      <c r="X388" s="3019"/>
      <c r="Y388" s="3019"/>
      <c r="Z388" s="3019"/>
      <c r="AA388" s="3019"/>
      <c r="AB388" s="3019"/>
      <c r="AC388" s="3019"/>
      <c r="AD388" s="3019"/>
      <c r="AE388" s="929"/>
      <c r="AF388" s="929"/>
      <c r="AG388" s="929"/>
      <c r="AH388" s="929"/>
      <c r="AI388" s="929"/>
      <c r="AJ388" s="929"/>
      <c r="AK388" s="929"/>
      <c r="AL388" s="929"/>
      <c r="AM388" s="949"/>
      <c r="AN388" s="923"/>
    </row>
    <row r="389" spans="1:42" s="866" customFormat="1" ht="12.75" customHeight="1">
      <c r="A389" s="983"/>
      <c r="B389" s="946"/>
      <c r="C389" s="1563"/>
      <c r="D389" s="1029"/>
      <c r="E389" s="3019"/>
      <c r="F389" s="3019"/>
      <c r="G389" s="3019"/>
      <c r="H389" s="3019"/>
      <c r="I389" s="3019"/>
      <c r="J389" s="3019"/>
      <c r="K389" s="3019"/>
      <c r="L389" s="3019"/>
      <c r="M389" s="3019"/>
      <c r="N389" s="3019"/>
      <c r="O389" s="3019"/>
      <c r="P389" s="3019"/>
      <c r="Q389" s="3019"/>
      <c r="R389" s="3019"/>
      <c r="S389" s="3019"/>
      <c r="T389" s="3019"/>
      <c r="U389" s="3019"/>
      <c r="V389" s="3019"/>
      <c r="W389" s="3019"/>
      <c r="X389" s="3019"/>
      <c r="Y389" s="3019"/>
      <c r="Z389" s="3019"/>
      <c r="AA389" s="3019"/>
      <c r="AB389" s="3019"/>
      <c r="AC389" s="3019"/>
      <c r="AD389" s="3019"/>
      <c r="AE389" s="929"/>
      <c r="AF389" s="929"/>
      <c r="AG389" s="929"/>
      <c r="AH389" s="929"/>
      <c r="AI389" s="929"/>
      <c r="AJ389" s="929"/>
      <c r="AK389" s="929"/>
      <c r="AL389" s="929"/>
      <c r="AM389" s="949"/>
      <c r="AN389" s="923"/>
    </row>
    <row r="390" spans="1:42" s="866" customFormat="1" ht="12.75" customHeight="1">
      <c r="A390" s="983"/>
      <c r="B390" s="946"/>
      <c r="C390" s="1563"/>
      <c r="D390" s="1029"/>
      <c r="E390" s="3019"/>
      <c r="F390" s="3019"/>
      <c r="G390" s="3019"/>
      <c r="H390" s="3019"/>
      <c r="I390" s="3019"/>
      <c r="J390" s="3019"/>
      <c r="K390" s="3019"/>
      <c r="L390" s="3019"/>
      <c r="M390" s="3019"/>
      <c r="N390" s="3019"/>
      <c r="O390" s="3019"/>
      <c r="P390" s="3019"/>
      <c r="Q390" s="3019"/>
      <c r="R390" s="3019"/>
      <c r="S390" s="3019"/>
      <c r="T390" s="3019"/>
      <c r="U390" s="3019"/>
      <c r="V390" s="3019"/>
      <c r="W390" s="3019"/>
      <c r="X390" s="3019"/>
      <c r="Y390" s="3019"/>
      <c r="Z390" s="3019"/>
      <c r="AA390" s="3019"/>
      <c r="AB390" s="3019"/>
      <c r="AC390" s="3019"/>
      <c r="AD390" s="3019"/>
      <c r="AE390" s="929"/>
      <c r="AF390" s="929"/>
      <c r="AG390" s="929"/>
      <c r="AH390" s="929"/>
      <c r="AI390" s="929"/>
      <c r="AJ390" s="929"/>
      <c r="AK390" s="929"/>
      <c r="AL390" s="929"/>
      <c r="AM390" s="949"/>
      <c r="AN390" s="923"/>
    </row>
    <row r="391" spans="1:42" s="866" customFormat="1" ht="12.75" customHeight="1">
      <c r="A391" s="983"/>
      <c r="B391" s="946"/>
      <c r="C391" s="1563"/>
      <c r="D391" s="1029"/>
      <c r="E391" s="3019"/>
      <c r="F391" s="3019"/>
      <c r="G391" s="3019"/>
      <c r="H391" s="3019"/>
      <c r="I391" s="3019"/>
      <c r="J391" s="3019"/>
      <c r="K391" s="3019"/>
      <c r="L391" s="3019"/>
      <c r="M391" s="3019"/>
      <c r="N391" s="3019"/>
      <c r="O391" s="3019"/>
      <c r="P391" s="3019"/>
      <c r="Q391" s="3019"/>
      <c r="R391" s="3019"/>
      <c r="S391" s="3019"/>
      <c r="T391" s="3019"/>
      <c r="U391" s="3019"/>
      <c r="V391" s="3019"/>
      <c r="W391" s="3019"/>
      <c r="X391" s="3019"/>
      <c r="Y391" s="3019"/>
      <c r="Z391" s="3019"/>
      <c r="AA391" s="3019"/>
      <c r="AB391" s="3019"/>
      <c r="AC391" s="3019"/>
      <c r="AD391" s="3019"/>
      <c r="AE391" s="929"/>
      <c r="AF391" s="929"/>
      <c r="AG391" s="929"/>
      <c r="AH391" s="929"/>
      <c r="AI391" s="929"/>
      <c r="AJ391" s="929"/>
      <c r="AK391" s="929"/>
      <c r="AL391" s="929"/>
      <c r="AM391" s="949"/>
      <c r="AN391" s="923"/>
    </row>
    <row r="392" spans="1:42" s="866" customFormat="1" ht="12.75" customHeight="1">
      <c r="A392" s="1042"/>
      <c r="B392" s="958"/>
      <c r="C392" s="1572"/>
      <c r="D392" s="1029"/>
      <c r="E392" s="3019"/>
      <c r="F392" s="3019"/>
      <c r="G392" s="3019"/>
      <c r="H392" s="3019"/>
      <c r="I392" s="3019"/>
      <c r="J392" s="3019"/>
      <c r="K392" s="3019"/>
      <c r="L392" s="3019"/>
      <c r="M392" s="3019"/>
      <c r="N392" s="3019"/>
      <c r="O392" s="3019"/>
      <c r="P392" s="3019"/>
      <c r="Q392" s="3019"/>
      <c r="R392" s="3019"/>
      <c r="S392" s="3019"/>
      <c r="T392" s="3019"/>
      <c r="U392" s="3019"/>
      <c r="V392" s="3019"/>
      <c r="W392" s="3019"/>
      <c r="X392" s="3019"/>
      <c r="Y392" s="3019"/>
      <c r="Z392" s="3019"/>
      <c r="AA392" s="3019"/>
      <c r="AB392" s="3019"/>
      <c r="AC392" s="3019"/>
      <c r="AD392" s="3019"/>
      <c r="AE392" s="958"/>
      <c r="AF392" s="958"/>
      <c r="AG392" s="958"/>
      <c r="AH392" s="958"/>
      <c r="AI392" s="958"/>
      <c r="AJ392" s="958"/>
      <c r="AK392" s="929"/>
      <c r="AL392" s="929"/>
      <c r="AM392" s="949"/>
      <c r="AN392" s="923"/>
    </row>
    <row r="393" spans="1:42" s="866" customFormat="1" ht="12.75" customHeight="1">
      <c r="A393" s="983"/>
      <c r="B393" s="958"/>
      <c r="C393" s="1572"/>
      <c r="D393" s="1029"/>
      <c r="E393" s="3019"/>
      <c r="F393" s="3019"/>
      <c r="G393" s="3019"/>
      <c r="H393" s="3019"/>
      <c r="I393" s="3019"/>
      <c r="J393" s="3019"/>
      <c r="K393" s="3019"/>
      <c r="L393" s="3019"/>
      <c r="M393" s="3019"/>
      <c r="N393" s="3019"/>
      <c r="O393" s="3019"/>
      <c r="P393" s="3019"/>
      <c r="Q393" s="3019"/>
      <c r="R393" s="3019"/>
      <c r="S393" s="3019"/>
      <c r="T393" s="3019"/>
      <c r="U393" s="3019"/>
      <c r="V393" s="3019"/>
      <c r="W393" s="3019"/>
      <c r="X393" s="3019"/>
      <c r="Y393" s="3019"/>
      <c r="Z393" s="3019"/>
      <c r="AA393" s="3019"/>
      <c r="AB393" s="3019"/>
      <c r="AC393" s="3019"/>
      <c r="AD393" s="3019"/>
      <c r="AE393" s="958"/>
      <c r="AF393" s="958"/>
      <c r="AG393" s="958"/>
      <c r="AH393" s="958"/>
      <c r="AI393" s="958"/>
      <c r="AJ393" s="958"/>
      <c r="AK393" s="929"/>
      <c r="AL393" s="929"/>
      <c r="AM393" s="949"/>
      <c r="AN393" s="923"/>
      <c r="AO393" s="925" t="s">
        <v>628</v>
      </c>
      <c r="AP393" s="1050">
        <v>0</v>
      </c>
    </row>
    <row r="394" spans="1:42" s="866" customFormat="1" ht="12" customHeight="1">
      <c r="A394" s="983"/>
      <c r="B394" s="958"/>
      <c r="C394" s="1572"/>
      <c r="D394" s="1029"/>
      <c r="E394" s="1591"/>
      <c r="F394" s="1591"/>
      <c r="G394" s="1591"/>
      <c r="H394" s="1591"/>
      <c r="I394" s="1591"/>
      <c r="J394" s="1591"/>
      <c r="K394" s="1591"/>
      <c r="L394" s="1591"/>
      <c r="M394" s="1591"/>
      <c r="N394" s="1591"/>
      <c r="O394" s="1591"/>
      <c r="P394" s="1591"/>
      <c r="Q394" s="1591"/>
      <c r="R394" s="1591"/>
      <c r="S394" s="1591"/>
      <c r="T394" s="1591"/>
      <c r="U394" s="1591"/>
      <c r="V394" s="1591"/>
      <c r="W394" s="1591"/>
      <c r="X394" s="1591"/>
      <c r="Y394" s="1591"/>
      <c r="Z394" s="1591"/>
      <c r="AA394" s="1591"/>
      <c r="AB394" s="1591"/>
      <c r="AC394" s="1591"/>
      <c r="AD394" s="1591"/>
      <c r="AE394" s="958"/>
      <c r="AF394" s="958"/>
      <c r="AG394" s="958"/>
      <c r="AH394" s="958"/>
      <c r="AI394" s="958"/>
      <c r="AJ394" s="958"/>
      <c r="AK394" s="929"/>
      <c r="AL394" s="929"/>
      <c r="AM394" s="949"/>
      <c r="AN394" s="923"/>
      <c r="AO394" s="925"/>
      <c r="AP394" s="1050"/>
    </row>
    <row r="395" spans="1:42" s="866" customFormat="1" ht="12.75" customHeight="1">
      <c r="A395" s="983"/>
      <c r="B395" s="958"/>
      <c r="C395" s="1560"/>
      <c r="D395" s="1029"/>
      <c r="E395" s="958" t="s">
        <v>1700</v>
      </c>
      <c r="F395" s="1573"/>
      <c r="G395" s="1573"/>
      <c r="H395" s="1573"/>
      <c r="I395" s="1573"/>
      <c r="J395" s="1573"/>
      <c r="K395" s="1573"/>
      <c r="L395" s="1573"/>
      <c r="M395" s="1573"/>
      <c r="N395" s="1573"/>
      <c r="O395" s="1573"/>
      <c r="P395" s="1573"/>
      <c r="Q395" s="1573"/>
      <c r="R395" s="1573"/>
      <c r="U395" s="1573"/>
      <c r="V395" s="1573"/>
      <c r="W395" s="1573"/>
      <c r="X395" s="2968" t="s">
        <v>628</v>
      </c>
      <c r="Y395" s="2968"/>
      <c r="Z395" s="1573"/>
      <c r="AA395" s="1573"/>
      <c r="AB395" s="1573"/>
      <c r="AC395" s="1573"/>
      <c r="AD395" s="1573"/>
      <c r="AE395" s="850"/>
      <c r="AF395" s="958"/>
      <c r="AG395" s="958"/>
      <c r="AH395" s="958"/>
      <c r="AI395" s="958"/>
      <c r="AJ395" s="958"/>
      <c r="AK395" s="929"/>
      <c r="AL395" s="929"/>
      <c r="AM395" s="949"/>
      <c r="AN395" s="923"/>
      <c r="AO395" s="1041" t="s">
        <v>727</v>
      </c>
      <c r="AP395" s="866">
        <v>5</v>
      </c>
    </row>
    <row r="396" spans="1:42" s="866" customFormat="1" ht="12.75" customHeight="1">
      <c r="A396" s="983"/>
      <c r="B396" s="958"/>
      <c r="C396" s="1572"/>
      <c r="D396" s="850"/>
      <c r="E396" s="850"/>
      <c r="F396" s="850"/>
      <c r="G396" s="850"/>
      <c r="H396" s="850"/>
      <c r="I396" s="850"/>
      <c r="J396" s="850"/>
      <c r="K396" s="850"/>
      <c r="L396" s="850"/>
      <c r="M396" s="850"/>
      <c r="N396" s="850"/>
      <c r="O396" s="850"/>
      <c r="P396" s="850"/>
      <c r="Q396" s="850"/>
      <c r="R396" s="850"/>
      <c r="S396" s="850"/>
      <c r="T396" s="850"/>
      <c r="U396" s="850"/>
      <c r="V396" s="850"/>
      <c r="W396" s="958"/>
      <c r="X396" s="958"/>
      <c r="Y396" s="958"/>
      <c r="Z396" s="958"/>
      <c r="AA396" s="958"/>
      <c r="AB396" s="958"/>
      <c r="AC396" s="850"/>
      <c r="AD396" s="850"/>
      <c r="AE396" s="850"/>
      <c r="AF396" s="850"/>
      <c r="AG396" s="850"/>
      <c r="AH396" s="850"/>
      <c r="AI396" s="850"/>
      <c r="AJ396" s="850"/>
      <c r="AK396" s="850"/>
      <c r="AL396" s="850"/>
      <c r="AM396" s="949"/>
      <c r="AN396" s="923"/>
      <c r="AO396" s="1041" t="s">
        <v>544</v>
      </c>
      <c r="AP396" s="1051">
        <v>4</v>
      </c>
    </row>
    <row r="397" spans="1:42" s="866" customFormat="1" ht="12.75" customHeight="1">
      <c r="A397" s="983"/>
      <c r="B397" s="929"/>
      <c r="C397" s="1560"/>
      <c r="D397" s="1029" t="s">
        <v>544</v>
      </c>
      <c r="E397" s="871" t="s">
        <v>1701</v>
      </c>
      <c r="F397" s="1574"/>
      <c r="G397" s="1574"/>
      <c r="H397" s="1574"/>
      <c r="I397" s="1574"/>
      <c r="J397" s="1574"/>
      <c r="K397" s="1574"/>
      <c r="L397" s="1574"/>
      <c r="M397" s="1574"/>
      <c r="N397" s="1574"/>
      <c r="O397" s="1574"/>
      <c r="P397" s="1574"/>
      <c r="Q397" s="1574"/>
      <c r="R397" s="1574"/>
      <c r="S397" s="1574"/>
      <c r="T397" s="1574"/>
      <c r="U397" s="850"/>
      <c r="V397" s="850"/>
      <c r="W397" s="1574"/>
      <c r="X397" s="1574"/>
      <c r="Y397" s="1574"/>
      <c r="Z397" s="1574"/>
      <c r="AA397" s="1574"/>
      <c r="AB397" s="1574"/>
      <c r="AC397" s="850"/>
      <c r="AD397" s="850"/>
      <c r="AE397" s="850"/>
      <c r="AF397" s="2941" t="s">
        <v>1702</v>
      </c>
      <c r="AG397" s="2941"/>
      <c r="AH397" s="2941"/>
      <c r="AI397" s="2941"/>
      <c r="AJ397" s="2941"/>
      <c r="AK397" s="2941"/>
      <c r="AL397" s="2941"/>
      <c r="AM397" s="949"/>
      <c r="AN397" s="923"/>
      <c r="AO397" s="1041" t="s">
        <v>286</v>
      </c>
      <c r="AP397" s="866">
        <v>3</v>
      </c>
    </row>
    <row r="398" spans="1:42" s="925" customFormat="1" ht="12.75" customHeight="1">
      <c r="A398" s="983"/>
      <c r="B398" s="929"/>
      <c r="C398" s="1560"/>
      <c r="D398" s="946"/>
      <c r="E398" s="853"/>
      <c r="F398" s="1574"/>
      <c r="G398" s="1574"/>
      <c r="H398" s="1574"/>
      <c r="I398" s="1574"/>
      <c r="J398" s="1574"/>
      <c r="K398" s="1574"/>
      <c r="L398" s="1574"/>
      <c r="M398" s="1574"/>
      <c r="N398" s="1574"/>
      <c r="O398" s="1574"/>
      <c r="P398" s="1574"/>
      <c r="Q398" s="1574"/>
      <c r="R398" s="1574"/>
      <c r="S398" s="1574"/>
      <c r="T398" s="1574"/>
      <c r="U398" s="850"/>
      <c r="V398" s="853"/>
      <c r="W398" s="853"/>
      <c r="X398" s="1574"/>
      <c r="Y398" s="1574"/>
      <c r="Z398" s="1574"/>
      <c r="AA398" s="1574"/>
      <c r="AB398" s="1574"/>
      <c r="AC398" s="850"/>
      <c r="AD398" s="850"/>
      <c r="AE398" s="850"/>
      <c r="AF398" s="850"/>
      <c r="AG398" s="850"/>
      <c r="AH398" s="850"/>
      <c r="AI398" s="850"/>
      <c r="AJ398" s="850"/>
      <c r="AK398" s="929"/>
      <c r="AL398" s="929"/>
      <c r="AM398" s="949"/>
      <c r="AN398" s="924"/>
      <c r="AO398" s="1041" t="s">
        <v>1691</v>
      </c>
      <c r="AP398" s="1051">
        <v>4</v>
      </c>
    </row>
    <row r="399" spans="1:42" s="866" customFormat="1" ht="12.75" customHeight="1">
      <c r="A399" s="983"/>
      <c r="B399" s="929"/>
      <c r="C399" s="1560"/>
      <c r="D399" s="946" t="s">
        <v>1694</v>
      </c>
      <c r="E399" s="1566"/>
      <c r="F399" s="1566"/>
      <c r="G399" s="1566"/>
      <c r="H399" s="3018" t="s">
        <v>727</v>
      </c>
      <c r="I399" s="3018"/>
      <c r="J399" s="1574"/>
      <c r="K399" s="1574"/>
      <c r="L399" s="1574"/>
      <c r="M399" s="1574"/>
      <c r="N399" s="1574"/>
      <c r="O399" s="1574"/>
      <c r="P399" s="1574"/>
      <c r="Q399" s="1574"/>
      <c r="R399" s="1574"/>
      <c r="S399" s="1574"/>
      <c r="T399" s="1574"/>
      <c r="U399" s="1566"/>
      <c r="V399" s="1566"/>
      <c r="W399" s="1566"/>
      <c r="X399" s="850"/>
      <c r="Y399" s="850"/>
      <c r="Z399" s="850"/>
      <c r="AA399" s="850"/>
      <c r="AB399" s="850"/>
      <c r="AC399" s="850"/>
      <c r="AD399" s="850"/>
      <c r="AE399" s="850"/>
      <c r="AF399" s="850"/>
      <c r="AG399" s="850"/>
      <c r="AH399" s="850"/>
      <c r="AI399" s="850"/>
      <c r="AJ399" s="850"/>
      <c r="AK399" s="850"/>
      <c r="AL399" s="850"/>
      <c r="AN399" s="923"/>
      <c r="AO399" s="1041" t="s">
        <v>1692</v>
      </c>
      <c r="AP399" s="866">
        <v>3</v>
      </c>
    </row>
    <row r="400" spans="1:42" s="866" customFormat="1" ht="12.75" customHeight="1">
      <c r="A400" s="983"/>
      <c r="B400" s="929"/>
      <c r="C400" s="1560"/>
      <c r="D400" s="850"/>
      <c r="E400" s="1566"/>
      <c r="F400" s="1574"/>
      <c r="G400" s="1574"/>
      <c r="H400" s="1574"/>
      <c r="I400" s="1575"/>
      <c r="J400" s="1574"/>
      <c r="K400" s="1574"/>
      <c r="L400" s="1574"/>
      <c r="M400" s="1574"/>
      <c r="N400" s="1574"/>
      <c r="O400" s="1574"/>
      <c r="P400" s="1574"/>
      <c r="Q400" s="1574"/>
      <c r="R400" s="850"/>
      <c r="S400" s="850"/>
      <c r="T400" s="1574"/>
      <c r="U400" s="1566"/>
      <c r="V400" s="1566"/>
      <c r="W400" s="1566"/>
      <c r="X400" s="1566"/>
      <c r="Y400" s="1566"/>
      <c r="Z400" s="1566"/>
      <c r="AA400" s="1566"/>
      <c r="AB400" s="1566"/>
      <c r="AC400" s="946"/>
      <c r="AD400" s="946"/>
      <c r="AE400" s="946"/>
      <c r="AF400" s="946"/>
      <c r="AG400" s="946"/>
      <c r="AH400" s="946"/>
      <c r="AI400" s="1574"/>
      <c r="AJ400" s="1574"/>
      <c r="AK400" s="1574"/>
      <c r="AL400" s="1574"/>
      <c r="AM400" s="1052"/>
      <c r="AN400" s="923"/>
      <c r="AO400" s="1041" t="s">
        <v>1703</v>
      </c>
      <c r="AP400" s="866">
        <v>2</v>
      </c>
    </row>
    <row r="401" spans="1:42" s="866" customFormat="1" ht="12.75" customHeight="1">
      <c r="A401" s="994"/>
      <c r="B401" s="932"/>
      <c r="C401" s="1576"/>
      <c r="D401" s="942"/>
      <c r="E401" s="1571"/>
      <c r="F401" s="1571"/>
      <c r="G401" s="1577"/>
      <c r="H401" s="1577"/>
      <c r="I401" s="1577"/>
      <c r="J401" s="1577"/>
      <c r="K401" s="1577"/>
      <c r="L401" s="1577"/>
      <c r="M401" s="1577"/>
      <c r="N401" s="1577"/>
      <c r="O401" s="1577"/>
      <c r="P401" s="1577"/>
      <c r="Q401" s="1577"/>
      <c r="R401" s="1577"/>
      <c r="S401" s="1577"/>
      <c r="T401" s="1571"/>
      <c r="U401" s="1571"/>
      <c r="V401" s="1571"/>
      <c r="W401" s="1571"/>
      <c r="X401" s="1571"/>
      <c r="Y401" s="1571"/>
      <c r="Z401" s="1571"/>
      <c r="AA401" s="1571"/>
      <c r="AB401" s="942"/>
      <c r="AC401" s="942"/>
      <c r="AD401" s="942"/>
      <c r="AE401" s="942"/>
      <c r="AF401" s="942"/>
      <c r="AG401" s="942"/>
      <c r="AH401" s="942"/>
      <c r="AI401" s="882" t="s">
        <v>1704</v>
      </c>
      <c r="AJ401" s="2980">
        <f>VLOOKUP($H$399,$AO$366:$AP$368,2,FALSE)</f>
        <v>3</v>
      </c>
      <c r="AK401" s="2982"/>
      <c r="AL401" s="928"/>
      <c r="AM401" s="925"/>
      <c r="AN401" s="923"/>
      <c r="AO401" s="1041" t="s">
        <v>1705</v>
      </c>
      <c r="AP401" s="866">
        <v>1</v>
      </c>
    </row>
    <row r="402" spans="1:42" s="866" customFormat="1" ht="12.75" customHeight="1">
      <c r="A402" s="983"/>
      <c r="B402" s="929"/>
      <c r="C402" s="1560"/>
      <c r="D402" s="946"/>
      <c r="E402" s="1566"/>
      <c r="F402" s="1566"/>
      <c r="G402" s="1566"/>
      <c r="H402" s="946"/>
      <c r="I402" s="946"/>
      <c r="J402" s="1574"/>
      <c r="K402" s="1574"/>
      <c r="L402" s="1574"/>
      <c r="M402" s="1574"/>
      <c r="N402" s="1574"/>
      <c r="O402" s="1574"/>
      <c r="P402" s="1574"/>
      <c r="Q402" s="1574"/>
      <c r="R402" s="1574"/>
      <c r="S402" s="1574"/>
      <c r="T402" s="1574"/>
      <c r="U402" s="1566"/>
      <c r="V402" s="1566"/>
      <c r="W402" s="1566"/>
      <c r="X402" s="1566"/>
      <c r="Y402" s="1566"/>
      <c r="Z402" s="1566"/>
      <c r="AA402" s="1566"/>
      <c r="AB402" s="1566"/>
      <c r="AC402" s="946"/>
      <c r="AD402" s="946"/>
      <c r="AE402" s="946"/>
      <c r="AF402" s="946"/>
      <c r="AG402" s="946"/>
      <c r="AH402" s="946"/>
      <c r="AI402" s="946"/>
      <c r="AJ402" s="1515"/>
      <c r="AK402" s="946"/>
      <c r="AL402" s="946"/>
      <c r="AM402" s="983"/>
      <c r="AN402" s="923"/>
    </row>
    <row r="403" spans="1:42" s="866" customFormat="1" ht="12.75" customHeight="1">
      <c r="A403" s="983"/>
      <c r="B403" s="929"/>
      <c r="C403" s="909" t="s">
        <v>1706</v>
      </c>
      <c r="D403" s="946"/>
      <c r="E403" s="1566"/>
      <c r="F403" s="1574"/>
      <c r="G403" s="1574"/>
      <c r="H403" s="1574"/>
      <c r="I403" s="1574"/>
      <c r="J403" s="1574"/>
      <c r="K403" s="1574"/>
      <c r="L403" s="1574"/>
      <c r="M403" s="1574"/>
      <c r="N403" s="1574"/>
      <c r="O403" s="1574"/>
      <c r="P403" s="1574"/>
      <c r="Q403" s="1574"/>
      <c r="R403" s="1574"/>
      <c r="S403" s="1574"/>
      <c r="T403" s="1574"/>
      <c r="U403" s="914"/>
      <c r="V403" s="914"/>
      <c r="W403" s="1574"/>
      <c r="X403" s="1574"/>
      <c r="Y403" s="1574"/>
      <c r="Z403" s="1574"/>
      <c r="AA403" s="1574"/>
      <c r="AB403" s="1574"/>
      <c r="AC403" s="1517"/>
      <c r="AD403" s="1517"/>
      <c r="AE403" s="1517"/>
      <c r="AF403" s="1517"/>
      <c r="AG403" s="1517"/>
      <c r="AH403" s="1517"/>
      <c r="AI403" s="1517"/>
      <c r="AJ403" s="914"/>
      <c r="AK403" s="929"/>
      <c r="AL403" s="929"/>
      <c r="AM403" s="949"/>
      <c r="AN403" s="923"/>
    </row>
    <row r="404" spans="1:42" s="866" customFormat="1" ht="12.75" customHeight="1">
      <c r="A404" s="1042"/>
      <c r="B404" s="946"/>
      <c r="C404" s="1562"/>
      <c r="D404" s="946"/>
      <c r="E404" s="1574"/>
      <c r="F404" s="1574"/>
      <c r="G404" s="1574"/>
      <c r="H404" s="1574"/>
      <c r="I404" s="1574"/>
      <c r="J404" s="1574"/>
      <c r="K404" s="1574"/>
      <c r="L404" s="1574"/>
      <c r="M404" s="1574"/>
      <c r="N404" s="1574"/>
      <c r="O404" s="1574"/>
      <c r="P404" s="1574"/>
      <c r="Q404" s="1574"/>
      <c r="R404" s="1574"/>
      <c r="S404" s="1574"/>
      <c r="T404" s="1574"/>
      <c r="U404" s="1574"/>
      <c r="V404" s="1574"/>
      <c r="W404" s="1574"/>
      <c r="X404" s="1574"/>
      <c r="Y404" s="1574"/>
      <c r="Z404" s="1574"/>
      <c r="AA404" s="1574"/>
      <c r="AB404" s="1574"/>
      <c r="AC404" s="946"/>
      <c r="AD404" s="946"/>
      <c r="AE404" s="850"/>
      <c r="AF404" s="850"/>
      <c r="AG404" s="850"/>
      <c r="AH404" s="850"/>
      <c r="AI404" s="850"/>
      <c r="AJ404" s="850"/>
      <c r="AK404" s="850"/>
      <c r="AL404" s="929"/>
      <c r="AM404" s="949"/>
      <c r="AN404" s="923"/>
    </row>
    <row r="405" spans="1:42" s="866" customFormat="1" ht="12.75" customHeight="1">
      <c r="A405" s="983"/>
      <c r="B405" s="850"/>
      <c r="C405" s="850"/>
      <c r="D405" s="1029" t="s">
        <v>727</v>
      </c>
      <c r="E405" s="958" t="s">
        <v>1707</v>
      </c>
      <c r="F405" s="1574"/>
      <c r="G405" s="1574"/>
      <c r="H405" s="1574"/>
      <c r="I405" s="1574"/>
      <c r="J405" s="1574"/>
      <c r="K405" s="1574"/>
      <c r="L405" s="1574"/>
      <c r="M405" s="1574"/>
      <c r="N405" s="1574"/>
      <c r="O405" s="1574"/>
      <c r="P405" s="1574"/>
      <c r="Q405" s="1574"/>
      <c r="R405" s="1574"/>
      <c r="S405" s="1574"/>
      <c r="T405" s="1574"/>
      <c r="U405" s="1574"/>
      <c r="V405" s="1574"/>
      <c r="W405" s="1574"/>
      <c r="X405" s="1574"/>
      <c r="Y405" s="1574"/>
      <c r="Z405" s="1574"/>
      <c r="AA405" s="1574"/>
      <c r="AB405" s="1574"/>
      <c r="AC405" s="850"/>
      <c r="AD405" s="850"/>
      <c r="AE405" s="850"/>
      <c r="AF405" s="2941" t="s">
        <v>1638</v>
      </c>
      <c r="AG405" s="2941"/>
      <c r="AH405" s="2941"/>
      <c r="AI405" s="2941"/>
      <c r="AJ405" s="2941"/>
      <c r="AK405" s="2941"/>
      <c r="AL405" s="2941"/>
      <c r="AM405" s="949"/>
      <c r="AN405" s="923"/>
    </row>
    <row r="406" spans="1:42" s="866" customFormat="1" ht="12.75" customHeight="1">
      <c r="A406" s="983"/>
      <c r="B406" s="850"/>
      <c r="C406" s="850"/>
      <c r="D406" s="1029"/>
      <c r="E406" s="958" t="s">
        <v>1708</v>
      </c>
      <c r="F406" s="1574"/>
      <c r="G406" s="1574"/>
      <c r="H406" s="1574"/>
      <c r="I406" s="1574"/>
      <c r="J406" s="1574"/>
      <c r="K406" s="1574"/>
      <c r="L406" s="1574"/>
      <c r="M406" s="1574"/>
      <c r="N406" s="1574"/>
      <c r="O406" s="1574"/>
      <c r="P406" s="1574"/>
      <c r="Q406" s="1574"/>
      <c r="R406" s="1574"/>
      <c r="S406" s="1574"/>
      <c r="T406" s="1574"/>
      <c r="U406" s="1574"/>
      <c r="V406" s="1574"/>
      <c r="W406" s="1574"/>
      <c r="X406" s="1574"/>
      <c r="Y406" s="1574"/>
      <c r="Z406" s="1574"/>
      <c r="AA406" s="1574"/>
      <c r="AB406" s="1574"/>
      <c r="AC406" s="850"/>
      <c r="AD406" s="850"/>
      <c r="AE406" s="1517"/>
      <c r="AF406" s="1517"/>
      <c r="AG406" s="1517"/>
      <c r="AH406" s="1517"/>
      <c r="AI406" s="1517"/>
      <c r="AJ406" s="1517"/>
      <c r="AK406" s="1517"/>
      <c r="AL406" s="1517"/>
      <c r="AM406" s="949"/>
      <c r="AN406" s="923"/>
    </row>
    <row r="407" spans="1:42" s="866" customFormat="1" ht="12.75" customHeight="1">
      <c r="A407" s="983"/>
      <c r="B407" s="958"/>
      <c r="C407" s="1572"/>
      <c r="D407" s="1029"/>
      <c r="E407" s="958"/>
      <c r="F407" s="958"/>
      <c r="G407" s="958"/>
      <c r="H407" s="958"/>
      <c r="I407" s="958"/>
      <c r="J407" s="958"/>
      <c r="K407" s="958"/>
      <c r="L407" s="958"/>
      <c r="M407" s="958"/>
      <c r="N407" s="958"/>
      <c r="O407" s="958"/>
      <c r="P407" s="958"/>
      <c r="Q407" s="958"/>
      <c r="R407" s="958"/>
      <c r="S407" s="958"/>
      <c r="T407" s="958"/>
      <c r="U407" s="958"/>
      <c r="V407" s="958"/>
      <c r="W407" s="958"/>
      <c r="X407" s="958"/>
      <c r="Y407" s="958"/>
      <c r="Z407" s="958"/>
      <c r="AA407" s="958"/>
      <c r="AB407" s="958"/>
      <c r="AC407" s="850"/>
      <c r="AD407" s="850"/>
      <c r="AE407" s="958"/>
      <c r="AF407" s="850"/>
      <c r="AG407" s="850"/>
      <c r="AH407" s="850"/>
      <c r="AI407" s="850"/>
      <c r="AJ407" s="850"/>
      <c r="AK407" s="850"/>
      <c r="AL407" s="850"/>
      <c r="AM407" s="949"/>
      <c r="AN407" s="923"/>
    </row>
    <row r="408" spans="1:42" s="866" customFormat="1" ht="12.75" customHeight="1">
      <c r="A408" s="983"/>
      <c r="B408" s="929"/>
      <c r="C408" s="1560"/>
      <c r="D408" s="1029" t="s">
        <v>544</v>
      </c>
      <c r="E408" s="958" t="s">
        <v>1709</v>
      </c>
      <c r="F408" s="958"/>
      <c r="G408" s="958"/>
      <c r="H408" s="958"/>
      <c r="I408" s="958"/>
      <c r="J408" s="958"/>
      <c r="K408" s="958"/>
      <c r="L408" s="958"/>
      <c r="M408" s="958"/>
      <c r="N408" s="958"/>
      <c r="O408" s="958"/>
      <c r="P408" s="958"/>
      <c r="Q408" s="958"/>
      <c r="R408" s="958"/>
      <c r="S408" s="958"/>
      <c r="T408" s="958"/>
      <c r="U408" s="958"/>
      <c r="V408" s="958"/>
      <c r="W408" s="958"/>
      <c r="X408" s="958"/>
      <c r="Y408" s="958"/>
      <c r="Z408" s="958"/>
      <c r="AA408" s="958"/>
      <c r="AB408" s="958"/>
      <c r="AC408" s="850"/>
      <c r="AD408" s="850"/>
      <c r="AE408" s="850"/>
      <c r="AF408" s="2941" t="s">
        <v>1702</v>
      </c>
      <c r="AG408" s="2941"/>
      <c r="AH408" s="2941"/>
      <c r="AI408" s="2941"/>
      <c r="AJ408" s="2941"/>
      <c r="AK408" s="2941"/>
      <c r="AL408" s="2941"/>
      <c r="AM408" s="949"/>
      <c r="AN408" s="923"/>
    </row>
    <row r="409" spans="1:42" s="866" customFormat="1" ht="12.75" customHeight="1">
      <c r="A409" s="983"/>
      <c r="B409" s="929"/>
      <c r="C409" s="1560"/>
      <c r="D409" s="1029"/>
      <c r="E409" s="958" t="s">
        <v>1710</v>
      </c>
      <c r="F409" s="958"/>
      <c r="G409" s="958"/>
      <c r="H409" s="958"/>
      <c r="I409" s="958"/>
      <c r="J409" s="958"/>
      <c r="K409" s="958"/>
      <c r="L409" s="958"/>
      <c r="M409" s="958"/>
      <c r="N409" s="958"/>
      <c r="O409" s="958"/>
      <c r="P409" s="958"/>
      <c r="Q409" s="958"/>
      <c r="R409" s="958"/>
      <c r="S409" s="958"/>
      <c r="T409" s="958"/>
      <c r="U409" s="958"/>
      <c r="V409" s="958"/>
      <c r="W409" s="958"/>
      <c r="X409" s="958"/>
      <c r="Y409" s="958"/>
      <c r="Z409" s="958"/>
      <c r="AA409" s="958"/>
      <c r="AB409" s="958"/>
      <c r="AC409" s="850"/>
      <c r="AD409" s="850"/>
      <c r="AE409" s="1517"/>
      <c r="AF409" s="1517"/>
      <c r="AG409" s="1517"/>
      <c r="AH409" s="1517"/>
      <c r="AI409" s="1517"/>
      <c r="AJ409" s="1517"/>
      <c r="AK409" s="1517"/>
      <c r="AL409" s="1517"/>
      <c r="AM409" s="949"/>
      <c r="AN409" s="923"/>
    </row>
    <row r="410" spans="1:42" s="925" customFormat="1" ht="12.75" customHeight="1">
      <c r="A410" s="983"/>
      <c r="B410" s="929"/>
      <c r="C410" s="1560"/>
      <c r="D410" s="946"/>
      <c r="E410" s="958"/>
      <c r="F410" s="958"/>
      <c r="G410" s="958"/>
      <c r="H410" s="958"/>
      <c r="I410" s="958"/>
      <c r="J410" s="958"/>
      <c r="K410" s="958"/>
      <c r="L410" s="958"/>
      <c r="M410" s="958"/>
      <c r="N410" s="958"/>
      <c r="O410" s="958"/>
      <c r="P410" s="958"/>
      <c r="Q410" s="958"/>
      <c r="R410" s="958"/>
      <c r="S410" s="958"/>
      <c r="T410" s="958"/>
      <c r="U410" s="958"/>
      <c r="V410" s="958"/>
      <c r="W410" s="958"/>
      <c r="X410" s="958"/>
      <c r="Y410" s="958"/>
      <c r="Z410" s="958"/>
      <c r="AA410" s="958"/>
      <c r="AB410" s="958"/>
      <c r="AC410" s="850"/>
      <c r="AD410" s="850"/>
      <c r="AE410" s="850"/>
      <c r="AF410" s="850"/>
      <c r="AG410" s="850"/>
      <c r="AH410" s="850"/>
      <c r="AI410" s="850"/>
      <c r="AJ410" s="850"/>
      <c r="AK410" s="929"/>
      <c r="AL410" s="929"/>
      <c r="AM410" s="949"/>
      <c r="AN410" s="924"/>
      <c r="AP410" s="1051"/>
    </row>
    <row r="411" spans="1:42" s="866" customFormat="1" ht="12.75" customHeight="1">
      <c r="A411" s="983"/>
      <c r="B411" s="929"/>
      <c r="C411" s="1560"/>
      <c r="D411" s="946" t="s">
        <v>1694</v>
      </c>
      <c r="E411" s="1566"/>
      <c r="F411" s="1566"/>
      <c r="G411" s="1566"/>
      <c r="H411" s="3018" t="s">
        <v>628</v>
      </c>
      <c r="I411" s="3018"/>
      <c r="J411" s="958"/>
      <c r="K411" s="958"/>
      <c r="L411" s="958"/>
      <c r="M411" s="958"/>
      <c r="N411" s="958"/>
      <c r="O411" s="958"/>
      <c r="P411" s="958"/>
      <c r="Q411" s="958"/>
      <c r="R411" s="958"/>
      <c r="S411" s="958"/>
      <c r="T411" s="958"/>
      <c r="U411" s="958"/>
      <c r="V411" s="958"/>
      <c r="W411" s="850"/>
      <c r="X411" s="850"/>
      <c r="Y411" s="850"/>
      <c r="Z411" s="850"/>
      <c r="AA411" s="850"/>
      <c r="AB411" s="850"/>
      <c r="AC411" s="850"/>
      <c r="AD411" s="850"/>
      <c r="AE411" s="850"/>
      <c r="AF411" s="850"/>
      <c r="AG411" s="850"/>
      <c r="AH411" s="850"/>
      <c r="AI411" s="850"/>
      <c r="AJ411" s="850"/>
      <c r="AK411" s="850"/>
      <c r="AL411" s="850"/>
      <c r="AN411" s="923"/>
    </row>
    <row r="412" spans="1:42" s="866" customFormat="1" ht="12.75" customHeight="1">
      <c r="A412" s="983"/>
      <c r="B412" s="929"/>
      <c r="C412" s="1560"/>
      <c r="D412" s="946"/>
      <c r="E412" s="1566"/>
      <c r="F412" s="1566"/>
      <c r="G412" s="958"/>
      <c r="H412" s="958"/>
      <c r="I412" s="958"/>
      <c r="J412" s="958"/>
      <c r="K412" s="958"/>
      <c r="L412" s="958"/>
      <c r="M412" s="958"/>
      <c r="N412" s="958"/>
      <c r="O412" s="958"/>
      <c r="P412" s="958"/>
      <c r="Q412" s="958"/>
      <c r="R412" s="958"/>
      <c r="S412" s="958"/>
      <c r="T412" s="958"/>
      <c r="U412" s="958"/>
      <c r="V412" s="958"/>
      <c r="W412" s="958"/>
      <c r="X412" s="958"/>
      <c r="Y412" s="958"/>
      <c r="Z412" s="1566"/>
      <c r="AA412" s="1566"/>
      <c r="AB412" s="1566"/>
      <c r="AC412" s="850"/>
      <c r="AD412" s="850"/>
      <c r="AE412" s="850"/>
      <c r="AF412" s="850"/>
      <c r="AG412" s="850"/>
      <c r="AH412" s="850"/>
      <c r="AI412" s="850"/>
      <c r="AJ412" s="958"/>
      <c r="AK412" s="958"/>
      <c r="AL412" s="958"/>
      <c r="AM412" s="867"/>
      <c r="AN412" s="923"/>
    </row>
    <row r="413" spans="1:42" s="925" customFormat="1" ht="12.75" customHeight="1">
      <c r="A413" s="994"/>
      <c r="B413" s="932"/>
      <c r="C413" s="1576"/>
      <c r="D413" s="942"/>
      <c r="E413" s="1571"/>
      <c r="F413" s="1571"/>
      <c r="G413" s="1031"/>
      <c r="H413" s="1031"/>
      <c r="I413" s="1031"/>
      <c r="J413" s="1031"/>
      <c r="K413" s="1031"/>
      <c r="L413" s="1031"/>
      <c r="M413" s="1031"/>
      <c r="N413" s="1031"/>
      <c r="O413" s="1031"/>
      <c r="P413" s="1031"/>
      <c r="Q413" s="1031"/>
      <c r="R413" s="1031"/>
      <c r="S413" s="1031"/>
      <c r="T413" s="1031"/>
      <c r="U413" s="1031"/>
      <c r="V413" s="1031"/>
      <c r="W413" s="1031"/>
      <c r="X413" s="1031"/>
      <c r="Y413" s="1571"/>
      <c r="Z413" s="1571"/>
      <c r="AA413" s="1571"/>
      <c r="AB413" s="942"/>
      <c r="AC413" s="942"/>
      <c r="AD413" s="942"/>
      <c r="AE413" s="942"/>
      <c r="AF413" s="942"/>
      <c r="AG413" s="942"/>
      <c r="AH413" s="942"/>
      <c r="AI413" s="882" t="s">
        <v>1711</v>
      </c>
      <c r="AJ413" s="2980">
        <f>VLOOKUP(H411,AT366:AU368,2,FALSE)</f>
        <v>0</v>
      </c>
      <c r="AK413" s="2982"/>
      <c r="AL413" s="928"/>
      <c r="AN413" s="924"/>
      <c r="AO413" s="925" t="s">
        <v>628</v>
      </c>
      <c r="AP413" s="1050">
        <v>0</v>
      </c>
    </row>
    <row r="414" spans="1:42" s="866" customFormat="1" ht="12.75" customHeight="1">
      <c r="A414" s="983"/>
      <c r="B414" s="929"/>
      <c r="C414" s="1560"/>
      <c r="D414" s="850"/>
      <c r="E414" s="850"/>
      <c r="F414" s="850"/>
      <c r="G414" s="850"/>
      <c r="H414" s="850"/>
      <c r="I414" s="850"/>
      <c r="J414" s="850"/>
      <c r="K414" s="850"/>
      <c r="L414" s="850"/>
      <c r="M414" s="850"/>
      <c r="N414" s="850"/>
      <c r="O414" s="850"/>
      <c r="P414" s="850"/>
      <c r="Q414" s="850"/>
      <c r="R414" s="850"/>
      <c r="S414" s="850"/>
      <c r="T414" s="850"/>
      <c r="U414" s="850"/>
      <c r="V414" s="850"/>
      <c r="W414" s="850"/>
      <c r="X414" s="850"/>
      <c r="Y414" s="850"/>
      <c r="Z414" s="850"/>
      <c r="AA414" s="850"/>
      <c r="AB414" s="850"/>
      <c r="AC414" s="850"/>
      <c r="AD414" s="850"/>
      <c r="AE414" s="850"/>
      <c r="AF414" s="850"/>
      <c r="AG414" s="850"/>
      <c r="AH414" s="850"/>
      <c r="AI414" s="850"/>
      <c r="AJ414" s="850"/>
      <c r="AK414" s="850"/>
      <c r="AL414" s="850"/>
      <c r="AN414" s="923"/>
      <c r="AO414" s="1041" t="s">
        <v>727</v>
      </c>
      <c r="AP414" s="866">
        <v>3</v>
      </c>
    </row>
    <row r="415" spans="1:42" s="866" customFormat="1" ht="12.75" customHeight="1">
      <c r="B415" s="850"/>
      <c r="C415" s="909" t="s">
        <v>1712</v>
      </c>
      <c r="D415" s="850"/>
      <c r="E415" s="850"/>
      <c r="F415" s="850"/>
      <c r="G415" s="850"/>
      <c r="H415" s="850"/>
      <c r="I415" s="850"/>
      <c r="J415" s="850"/>
      <c r="K415" s="850"/>
      <c r="L415" s="850"/>
      <c r="M415" s="850"/>
      <c r="N415" s="850"/>
      <c r="O415" s="850"/>
      <c r="P415" s="850"/>
      <c r="Q415" s="850"/>
      <c r="R415" s="850"/>
      <c r="S415" s="850"/>
      <c r="T415" s="850"/>
      <c r="U415" s="850"/>
      <c r="V415" s="850"/>
      <c r="W415" s="850"/>
      <c r="X415" s="850"/>
      <c r="Y415" s="850"/>
      <c r="Z415" s="850"/>
      <c r="AA415" s="850"/>
      <c r="AB415" s="850"/>
      <c r="AC415" s="850"/>
      <c r="AD415" s="850"/>
      <c r="AE415" s="850"/>
      <c r="AF415" s="850"/>
      <c r="AG415" s="850"/>
      <c r="AH415" s="850"/>
      <c r="AI415" s="850"/>
      <c r="AJ415" s="850"/>
      <c r="AK415" s="850"/>
      <c r="AL415" s="850"/>
      <c r="AN415" s="923"/>
      <c r="AO415" s="1041" t="s">
        <v>544</v>
      </c>
      <c r="AP415" s="866">
        <v>2</v>
      </c>
    </row>
    <row r="416" spans="1:42" s="866" customFormat="1" ht="12.75" customHeight="1">
      <c r="B416" s="850"/>
      <c r="C416" s="909"/>
      <c r="D416" s="1053" t="s">
        <v>1713</v>
      </c>
      <c r="E416" s="850"/>
      <c r="F416" s="850"/>
      <c r="G416" s="850"/>
      <c r="H416" s="850"/>
      <c r="I416" s="850"/>
      <c r="J416" s="850"/>
      <c r="K416" s="850"/>
      <c r="L416" s="850"/>
      <c r="M416" s="850"/>
      <c r="N416" s="850"/>
      <c r="O416" s="850"/>
      <c r="P416" s="850"/>
      <c r="Q416" s="850"/>
      <c r="R416" s="850"/>
      <c r="S416" s="850"/>
      <c r="T416" s="850"/>
      <c r="U416" s="850"/>
      <c r="V416" s="850"/>
      <c r="W416" s="850"/>
      <c r="X416" s="850"/>
      <c r="Y416" s="850"/>
      <c r="Z416" s="850"/>
      <c r="AA416" s="850"/>
      <c r="AB416" s="850"/>
      <c r="AC416" s="850"/>
      <c r="AD416" s="850"/>
      <c r="AE416" s="850"/>
      <c r="AF416" s="850"/>
      <c r="AG416" s="850"/>
      <c r="AH416" s="850"/>
      <c r="AI416" s="850"/>
      <c r="AJ416" s="850"/>
      <c r="AK416" s="850"/>
      <c r="AL416" s="850"/>
      <c r="AN416" s="923"/>
    </row>
    <row r="417" spans="1:42" s="866" customFormat="1" ht="12.75" customHeight="1">
      <c r="B417" s="850"/>
      <c r="C417" s="909"/>
      <c r="D417" s="850"/>
      <c r="E417" s="850"/>
      <c r="F417" s="850"/>
      <c r="G417" s="850"/>
      <c r="H417" s="850"/>
      <c r="I417" s="850"/>
      <c r="J417" s="850"/>
      <c r="K417" s="850"/>
      <c r="L417" s="850"/>
      <c r="M417" s="850"/>
      <c r="N417" s="850"/>
      <c r="O417" s="850"/>
      <c r="P417" s="850"/>
      <c r="Q417" s="850"/>
      <c r="R417" s="850"/>
      <c r="S417" s="850"/>
      <c r="T417" s="850"/>
      <c r="U417" s="850"/>
      <c r="V417" s="850"/>
      <c r="W417" s="850"/>
      <c r="X417" s="850"/>
      <c r="Y417" s="850"/>
      <c r="Z417" s="850"/>
      <c r="AA417" s="850"/>
      <c r="AB417" s="850"/>
      <c r="AC417" s="850"/>
      <c r="AD417" s="850"/>
      <c r="AE417" s="850"/>
      <c r="AF417" s="850"/>
      <c r="AG417" s="850"/>
      <c r="AH417" s="850"/>
      <c r="AI417" s="850"/>
      <c r="AJ417" s="850"/>
      <c r="AK417" s="850"/>
      <c r="AL417" s="850"/>
      <c r="AN417" s="923"/>
    </row>
    <row r="418" spans="1:42" s="866" customFormat="1" ht="12.75" customHeight="1">
      <c r="B418" s="850"/>
      <c r="C418" s="909"/>
      <c r="D418" s="1029" t="s">
        <v>727</v>
      </c>
      <c r="E418" s="2999" t="s">
        <v>1714</v>
      </c>
      <c r="F418" s="2999"/>
      <c r="G418" s="2999"/>
      <c r="H418" s="2999"/>
      <c r="I418" s="2999"/>
      <c r="J418" s="2999"/>
      <c r="K418" s="2999"/>
      <c r="L418" s="2999"/>
      <c r="M418" s="2999"/>
      <c r="N418" s="2999"/>
      <c r="O418" s="2999"/>
      <c r="P418" s="2999"/>
      <c r="Q418" s="2999"/>
      <c r="R418" s="2999"/>
      <c r="S418" s="2999"/>
      <c r="T418" s="2999"/>
      <c r="U418" s="2999"/>
      <c r="V418" s="2999"/>
      <c r="W418" s="2999"/>
      <c r="X418" s="2999"/>
      <c r="Y418" s="2999"/>
      <c r="Z418" s="2999"/>
      <c r="AA418" s="2999"/>
      <c r="AB418" s="2999"/>
      <c r="AC418" s="2999"/>
      <c r="AD418" s="850"/>
      <c r="AE418" s="850"/>
      <c r="AF418" s="2941" t="s">
        <v>1664</v>
      </c>
      <c r="AG418" s="2941"/>
      <c r="AH418" s="2941"/>
      <c r="AI418" s="2941"/>
      <c r="AJ418" s="2941"/>
      <c r="AK418" s="2941"/>
      <c r="AL418" s="2941"/>
      <c r="AN418" s="923"/>
    </row>
    <row r="419" spans="1:42" s="866" customFormat="1" ht="12.75" customHeight="1">
      <c r="B419" s="850"/>
      <c r="C419" s="909"/>
      <c r="D419" s="850"/>
      <c r="E419" s="2999"/>
      <c r="F419" s="2999"/>
      <c r="G419" s="2999"/>
      <c r="H419" s="2999"/>
      <c r="I419" s="2999"/>
      <c r="J419" s="2999"/>
      <c r="K419" s="2999"/>
      <c r="L419" s="2999"/>
      <c r="M419" s="2999"/>
      <c r="N419" s="2999"/>
      <c r="O419" s="2999"/>
      <c r="P419" s="2999"/>
      <c r="Q419" s="2999"/>
      <c r="R419" s="2999"/>
      <c r="S419" s="2999"/>
      <c r="T419" s="2999"/>
      <c r="U419" s="2999"/>
      <c r="V419" s="2999"/>
      <c r="W419" s="2999"/>
      <c r="X419" s="2999"/>
      <c r="Y419" s="2999"/>
      <c r="Z419" s="2999"/>
      <c r="AA419" s="2999"/>
      <c r="AB419" s="2999"/>
      <c r="AC419" s="2999"/>
      <c r="AD419" s="850"/>
      <c r="AE419" s="850"/>
      <c r="AF419" s="850"/>
      <c r="AG419" s="850"/>
      <c r="AH419" s="850"/>
      <c r="AI419" s="850"/>
      <c r="AJ419" s="850"/>
      <c r="AK419" s="850"/>
      <c r="AL419" s="850"/>
      <c r="AN419" s="923"/>
    </row>
    <row r="420" spans="1:42" s="866" customFormat="1" ht="12.75" customHeight="1">
      <c r="B420" s="850"/>
      <c r="C420" s="909"/>
      <c r="D420" s="1029"/>
      <c r="E420" s="2999"/>
      <c r="F420" s="2999"/>
      <c r="G420" s="2999"/>
      <c r="H420" s="2999"/>
      <c r="I420" s="2999"/>
      <c r="J420" s="2999"/>
      <c r="K420" s="2999"/>
      <c r="L420" s="2999"/>
      <c r="M420" s="2999"/>
      <c r="N420" s="2999"/>
      <c r="O420" s="2999"/>
      <c r="P420" s="2999"/>
      <c r="Q420" s="2999"/>
      <c r="R420" s="2999"/>
      <c r="S420" s="2999"/>
      <c r="T420" s="2999"/>
      <c r="U420" s="2999"/>
      <c r="V420" s="2999"/>
      <c r="W420" s="2999"/>
      <c r="X420" s="2999"/>
      <c r="Y420" s="2999"/>
      <c r="Z420" s="2999"/>
      <c r="AA420" s="2999"/>
      <c r="AB420" s="2999"/>
      <c r="AC420" s="2999"/>
      <c r="AD420" s="850"/>
      <c r="AE420" s="850"/>
      <c r="AF420" s="850"/>
      <c r="AG420" s="850"/>
      <c r="AH420" s="850"/>
      <c r="AI420" s="850"/>
      <c r="AJ420" s="850"/>
      <c r="AK420" s="850"/>
      <c r="AL420" s="850"/>
      <c r="AN420" s="923"/>
    </row>
    <row r="421" spans="1:42" s="866" customFormat="1" ht="15" customHeight="1">
      <c r="B421" s="850"/>
      <c r="C421" s="909"/>
      <c r="D421" s="850"/>
      <c r="E421" s="1578"/>
      <c r="F421" s="1578"/>
      <c r="G421" s="1578"/>
      <c r="H421" s="1578"/>
      <c r="I421" s="1578"/>
      <c r="J421" s="1578"/>
      <c r="K421" s="1578"/>
      <c r="L421" s="1578"/>
      <c r="M421" s="1578"/>
      <c r="N421" s="1578"/>
      <c r="O421" s="1578"/>
      <c r="P421" s="1578"/>
      <c r="Q421" s="1578"/>
      <c r="R421" s="1578"/>
      <c r="S421" s="1578"/>
      <c r="T421" s="1578"/>
      <c r="U421" s="1578"/>
      <c r="V421" s="1578"/>
      <c r="W421" s="1578"/>
      <c r="X421" s="1578"/>
      <c r="Y421" s="1578"/>
      <c r="Z421" s="1578"/>
      <c r="AA421" s="1578"/>
      <c r="AB421" s="1578"/>
      <c r="AC421" s="850"/>
      <c r="AD421" s="850"/>
      <c r="AE421" s="850"/>
      <c r="AF421" s="850"/>
      <c r="AG421" s="850"/>
      <c r="AH421" s="850"/>
      <c r="AI421" s="850"/>
      <c r="AJ421" s="850"/>
      <c r="AK421" s="850"/>
      <c r="AL421" s="850"/>
      <c r="AN421" s="923"/>
    </row>
    <row r="422" spans="1:42" s="866" customFormat="1" ht="12.75" customHeight="1">
      <c r="B422" s="850"/>
      <c r="C422" s="909"/>
      <c r="D422" s="1029" t="s">
        <v>544</v>
      </c>
      <c r="E422" s="2999" t="s">
        <v>1715</v>
      </c>
      <c r="F422" s="2999"/>
      <c r="G422" s="2999"/>
      <c r="H422" s="2999"/>
      <c r="I422" s="2999"/>
      <c r="J422" s="2999"/>
      <c r="K422" s="2999"/>
      <c r="L422" s="2999"/>
      <c r="M422" s="2999"/>
      <c r="N422" s="2999"/>
      <c r="O422" s="2999"/>
      <c r="P422" s="2999"/>
      <c r="Q422" s="2999"/>
      <c r="R422" s="2999"/>
      <c r="S422" s="2999"/>
      <c r="T422" s="2999"/>
      <c r="U422" s="2999"/>
      <c r="V422" s="2999"/>
      <c r="W422" s="2999"/>
      <c r="X422" s="2999"/>
      <c r="Y422" s="2999"/>
      <c r="Z422" s="2999"/>
      <c r="AA422" s="2999"/>
      <c r="AB422" s="2999"/>
      <c r="AC422" s="2999"/>
      <c r="AD422" s="850"/>
      <c r="AE422" s="850"/>
      <c r="AF422" s="2941" t="s">
        <v>1693</v>
      </c>
      <c r="AG422" s="2941"/>
      <c r="AH422" s="2941"/>
      <c r="AI422" s="2941"/>
      <c r="AJ422" s="2941"/>
      <c r="AK422" s="2941"/>
      <c r="AL422" s="2941"/>
      <c r="AN422" s="923"/>
    </row>
    <row r="423" spans="1:42" s="866" customFormat="1" ht="12.75" customHeight="1">
      <c r="B423" s="850"/>
      <c r="C423" s="909"/>
      <c r="D423" s="850"/>
      <c r="E423" s="2999"/>
      <c r="F423" s="2999"/>
      <c r="G423" s="2999"/>
      <c r="H423" s="2999"/>
      <c r="I423" s="2999"/>
      <c r="J423" s="2999"/>
      <c r="K423" s="2999"/>
      <c r="L423" s="2999"/>
      <c r="M423" s="2999"/>
      <c r="N423" s="2999"/>
      <c r="O423" s="2999"/>
      <c r="P423" s="2999"/>
      <c r="Q423" s="2999"/>
      <c r="R423" s="2999"/>
      <c r="S423" s="2999"/>
      <c r="T423" s="2999"/>
      <c r="U423" s="2999"/>
      <c r="V423" s="2999"/>
      <c r="W423" s="2999"/>
      <c r="X423" s="2999"/>
      <c r="Y423" s="2999"/>
      <c r="Z423" s="2999"/>
      <c r="AA423" s="2999"/>
      <c r="AB423" s="2999"/>
      <c r="AC423" s="2999"/>
      <c r="AD423" s="850"/>
      <c r="AE423" s="850"/>
      <c r="AF423" s="850"/>
      <c r="AG423" s="850"/>
      <c r="AH423" s="850"/>
      <c r="AI423" s="850"/>
      <c r="AJ423" s="850"/>
      <c r="AK423" s="850"/>
      <c r="AL423" s="850"/>
      <c r="AN423" s="923"/>
    </row>
    <row r="424" spans="1:42" s="866" customFormat="1" ht="15" customHeight="1">
      <c r="B424" s="850"/>
      <c r="C424" s="909"/>
      <c r="D424" s="1029"/>
      <c r="E424" s="2999"/>
      <c r="F424" s="2999"/>
      <c r="G424" s="2999"/>
      <c r="H424" s="2999"/>
      <c r="I424" s="2999"/>
      <c r="J424" s="2999"/>
      <c r="K424" s="2999"/>
      <c r="L424" s="2999"/>
      <c r="M424" s="2999"/>
      <c r="N424" s="2999"/>
      <c r="O424" s="2999"/>
      <c r="P424" s="2999"/>
      <c r="Q424" s="2999"/>
      <c r="R424" s="2999"/>
      <c r="S424" s="2999"/>
      <c r="T424" s="2999"/>
      <c r="U424" s="2999"/>
      <c r="V424" s="2999"/>
      <c r="W424" s="2999"/>
      <c r="X424" s="2999"/>
      <c r="Y424" s="2999"/>
      <c r="Z424" s="2999"/>
      <c r="AA424" s="2999"/>
      <c r="AB424" s="2999"/>
      <c r="AC424" s="2999"/>
      <c r="AD424" s="850"/>
      <c r="AE424" s="850"/>
      <c r="AF424" s="850"/>
      <c r="AG424" s="850"/>
      <c r="AH424" s="850"/>
      <c r="AI424" s="850"/>
      <c r="AJ424" s="850"/>
      <c r="AK424" s="850"/>
      <c r="AL424" s="850"/>
      <c r="AN424" s="923"/>
    </row>
    <row r="425" spans="1:42" s="925" customFormat="1" ht="12.75" customHeight="1">
      <c r="A425" s="866"/>
      <c r="B425" s="850"/>
      <c r="C425" s="909"/>
      <c r="D425" s="850"/>
      <c r="E425" s="1578"/>
      <c r="F425" s="1578"/>
      <c r="G425" s="1578"/>
      <c r="H425" s="1578"/>
      <c r="I425" s="1578"/>
      <c r="J425" s="1578"/>
      <c r="K425" s="1578"/>
      <c r="L425" s="1578"/>
      <c r="M425" s="1578"/>
      <c r="N425" s="1578"/>
      <c r="O425" s="1578"/>
      <c r="P425" s="1578"/>
      <c r="Q425" s="1578"/>
      <c r="R425" s="1578"/>
      <c r="S425" s="1578"/>
      <c r="T425" s="1578"/>
      <c r="U425" s="1578"/>
      <c r="V425" s="1578"/>
      <c r="W425" s="1578"/>
      <c r="X425" s="1578"/>
      <c r="Y425" s="1578"/>
      <c r="Z425" s="1578"/>
      <c r="AA425" s="1578"/>
      <c r="AB425" s="1578"/>
      <c r="AC425" s="850"/>
      <c r="AD425" s="850"/>
      <c r="AE425" s="850"/>
      <c r="AF425" s="853"/>
      <c r="AG425" s="853"/>
      <c r="AH425" s="853"/>
      <c r="AI425" s="853"/>
      <c r="AJ425" s="853"/>
      <c r="AK425" s="853"/>
      <c r="AL425" s="853"/>
      <c r="AM425" s="866"/>
      <c r="AN425" s="924"/>
    </row>
    <row r="426" spans="1:42" s="866" customFormat="1" ht="12.75" customHeight="1">
      <c r="B426" s="850"/>
      <c r="C426" s="909"/>
      <c r="D426" s="1029" t="s">
        <v>286</v>
      </c>
      <c r="E426" s="2999" t="s">
        <v>1716</v>
      </c>
      <c r="F426" s="2999"/>
      <c r="G426" s="2999"/>
      <c r="H426" s="2999"/>
      <c r="I426" s="2999"/>
      <c r="J426" s="2999"/>
      <c r="K426" s="2999"/>
      <c r="L426" s="2999"/>
      <c r="M426" s="2999"/>
      <c r="N426" s="2999"/>
      <c r="O426" s="2999"/>
      <c r="P426" s="2999"/>
      <c r="Q426" s="2999"/>
      <c r="R426" s="2999"/>
      <c r="S426" s="2999"/>
      <c r="T426" s="2999"/>
      <c r="U426" s="2999"/>
      <c r="V426" s="2999"/>
      <c r="W426" s="2999"/>
      <c r="X426" s="2999"/>
      <c r="Y426" s="2999"/>
      <c r="Z426" s="2999"/>
      <c r="AA426" s="2999"/>
      <c r="AB426" s="2999"/>
      <c r="AC426" s="2999"/>
      <c r="AD426" s="850"/>
      <c r="AE426" s="850"/>
      <c r="AF426" s="2941" t="s">
        <v>1638</v>
      </c>
      <c r="AG426" s="2941"/>
      <c r="AH426" s="2941"/>
      <c r="AI426" s="2941"/>
      <c r="AJ426" s="2941"/>
      <c r="AK426" s="2941"/>
      <c r="AL426" s="2941"/>
      <c r="AN426" s="923"/>
    </row>
    <row r="427" spans="1:42" s="866" customFormat="1" ht="12.75" customHeight="1">
      <c r="A427" s="983"/>
      <c r="B427" s="946"/>
      <c r="C427" s="1563"/>
      <c r="D427" s="850"/>
      <c r="E427" s="2999"/>
      <c r="F427" s="2999"/>
      <c r="G427" s="2999"/>
      <c r="H427" s="2999"/>
      <c r="I427" s="2999"/>
      <c r="J427" s="2999"/>
      <c r="K427" s="2999"/>
      <c r="L427" s="2999"/>
      <c r="M427" s="2999"/>
      <c r="N427" s="2999"/>
      <c r="O427" s="2999"/>
      <c r="P427" s="2999"/>
      <c r="Q427" s="2999"/>
      <c r="R427" s="2999"/>
      <c r="S427" s="2999"/>
      <c r="T427" s="2999"/>
      <c r="U427" s="2999"/>
      <c r="V427" s="2999"/>
      <c r="W427" s="2999"/>
      <c r="X427" s="2999"/>
      <c r="Y427" s="2999"/>
      <c r="Z427" s="2999"/>
      <c r="AA427" s="2999"/>
      <c r="AB427" s="2999"/>
      <c r="AC427" s="2999"/>
      <c r="AD427" s="850"/>
      <c r="AE427" s="2941"/>
      <c r="AF427" s="2941"/>
      <c r="AG427" s="2941"/>
      <c r="AH427" s="2941"/>
      <c r="AI427" s="2941"/>
      <c r="AJ427" s="2941"/>
      <c r="AK427" s="2941"/>
      <c r="AL427" s="1517"/>
      <c r="AM427" s="949"/>
      <c r="AN427" s="923"/>
      <c r="AO427" s="866" t="s">
        <v>628</v>
      </c>
      <c r="AP427" s="1043">
        <v>0</v>
      </c>
    </row>
    <row r="428" spans="1:42" s="866" customFormat="1" ht="12.75" customHeight="1">
      <c r="A428" s="1049"/>
      <c r="B428" s="850"/>
      <c r="C428" s="850"/>
      <c r="D428" s="1029"/>
      <c r="E428" s="2999"/>
      <c r="F428" s="2999"/>
      <c r="G428" s="2999"/>
      <c r="H428" s="2999"/>
      <c r="I428" s="2999"/>
      <c r="J428" s="2999"/>
      <c r="K428" s="2999"/>
      <c r="L428" s="2999"/>
      <c r="M428" s="2999"/>
      <c r="N428" s="2999"/>
      <c r="O428" s="2999"/>
      <c r="P428" s="2999"/>
      <c r="Q428" s="2999"/>
      <c r="R428" s="2999"/>
      <c r="S428" s="2999"/>
      <c r="T428" s="2999"/>
      <c r="U428" s="2999"/>
      <c r="V428" s="2999"/>
      <c r="W428" s="2999"/>
      <c r="X428" s="2999"/>
      <c r="Y428" s="2999"/>
      <c r="Z428" s="2999"/>
      <c r="AA428" s="2999"/>
      <c r="AB428" s="2999"/>
      <c r="AC428" s="2999"/>
      <c r="AD428" s="850"/>
      <c r="AE428" s="850"/>
      <c r="AF428" s="850"/>
      <c r="AG428" s="929"/>
      <c r="AH428" s="929"/>
      <c r="AI428" s="929"/>
      <c r="AJ428" s="929"/>
      <c r="AK428" s="929"/>
      <c r="AL428" s="929"/>
      <c r="AM428" s="949"/>
      <c r="AN428" s="923"/>
      <c r="AO428" s="1041" t="s">
        <v>727</v>
      </c>
      <c r="AP428" s="866">
        <v>3</v>
      </c>
    </row>
    <row r="429" spans="1:42" s="866" customFormat="1" ht="12.75" customHeight="1">
      <c r="A429" s="983"/>
      <c r="B429" s="946"/>
      <c r="C429" s="1563"/>
      <c r="D429" s="1029"/>
      <c r="E429" s="892"/>
      <c r="F429" s="892"/>
      <c r="G429" s="892"/>
      <c r="H429" s="892"/>
      <c r="I429" s="892"/>
      <c r="J429" s="892"/>
      <c r="K429" s="892"/>
      <c r="L429" s="892"/>
      <c r="M429" s="892"/>
      <c r="N429" s="892"/>
      <c r="O429" s="892"/>
      <c r="P429" s="892"/>
      <c r="Q429" s="892"/>
      <c r="R429" s="892"/>
      <c r="S429" s="892"/>
      <c r="T429" s="892"/>
      <c r="U429" s="892"/>
      <c r="V429" s="892"/>
      <c r="W429" s="892"/>
      <c r="X429" s="892"/>
      <c r="Y429" s="892"/>
      <c r="Z429" s="892"/>
      <c r="AA429" s="892"/>
      <c r="AB429" s="892"/>
      <c r="AC429" s="850"/>
      <c r="AD429" s="850"/>
      <c r="AE429" s="929"/>
      <c r="AF429" s="850"/>
      <c r="AG429" s="850"/>
      <c r="AH429" s="850"/>
      <c r="AI429" s="850"/>
      <c r="AJ429" s="850"/>
      <c r="AK429" s="850"/>
      <c r="AL429" s="850"/>
      <c r="AN429" s="923"/>
      <c r="AO429" s="1041" t="s">
        <v>544</v>
      </c>
      <c r="AP429" s="866">
        <v>2</v>
      </c>
    </row>
    <row r="430" spans="1:42" s="866" customFormat="1" ht="12.75" customHeight="1">
      <c r="A430" s="1038"/>
      <c r="B430" s="946"/>
      <c r="C430" s="1579"/>
      <c r="D430" s="1029" t="s">
        <v>1691</v>
      </c>
      <c r="E430" s="2999" t="s">
        <v>1717</v>
      </c>
      <c r="F430" s="2999"/>
      <c r="G430" s="2999"/>
      <c r="H430" s="2999"/>
      <c r="I430" s="2999"/>
      <c r="J430" s="2999"/>
      <c r="K430" s="2999"/>
      <c r="L430" s="2999"/>
      <c r="M430" s="2999"/>
      <c r="N430" s="2999"/>
      <c r="O430" s="2999"/>
      <c r="P430" s="2999"/>
      <c r="Q430" s="2999"/>
      <c r="R430" s="2999"/>
      <c r="S430" s="2999"/>
      <c r="T430" s="2999"/>
      <c r="U430" s="2999"/>
      <c r="V430" s="2999"/>
      <c r="W430" s="2999"/>
      <c r="X430" s="2999"/>
      <c r="Y430" s="2999"/>
      <c r="Z430" s="2999"/>
      <c r="AA430" s="2999"/>
      <c r="AB430" s="2999"/>
      <c r="AC430" s="2999"/>
      <c r="AD430" s="850"/>
      <c r="AE430" s="850"/>
      <c r="AF430" s="2941" t="s">
        <v>1693</v>
      </c>
      <c r="AG430" s="2941"/>
      <c r="AH430" s="2941"/>
      <c r="AI430" s="2941"/>
      <c r="AJ430" s="2941"/>
      <c r="AK430" s="2941"/>
      <c r="AL430" s="2941"/>
      <c r="AN430" s="923"/>
    </row>
    <row r="431" spans="1:42" s="866" customFormat="1" ht="12.75" customHeight="1">
      <c r="A431" s="1038"/>
      <c r="B431" s="946"/>
      <c r="C431" s="1579"/>
      <c r="D431" s="1029"/>
      <c r="E431" s="2999"/>
      <c r="F431" s="2999"/>
      <c r="G431" s="2999"/>
      <c r="H431" s="2999"/>
      <c r="I431" s="2999"/>
      <c r="J431" s="2999"/>
      <c r="K431" s="2999"/>
      <c r="L431" s="2999"/>
      <c r="M431" s="2999"/>
      <c r="N431" s="2999"/>
      <c r="O431" s="2999"/>
      <c r="P431" s="2999"/>
      <c r="Q431" s="2999"/>
      <c r="R431" s="2999"/>
      <c r="S431" s="2999"/>
      <c r="T431" s="2999"/>
      <c r="U431" s="2999"/>
      <c r="V431" s="2999"/>
      <c r="W431" s="2999"/>
      <c r="X431" s="2999"/>
      <c r="Y431" s="2999"/>
      <c r="Z431" s="2999"/>
      <c r="AA431" s="2999"/>
      <c r="AB431" s="2999"/>
      <c r="AC431" s="2999"/>
      <c r="AD431" s="850"/>
      <c r="AE431" s="1517"/>
      <c r="AF431" s="1517"/>
      <c r="AG431" s="1517"/>
      <c r="AH431" s="1517"/>
      <c r="AI431" s="1517"/>
      <c r="AJ431" s="1517"/>
      <c r="AK431" s="1517"/>
      <c r="AL431" s="1517"/>
      <c r="AM431" s="988"/>
      <c r="AN431" s="923"/>
    </row>
    <row r="432" spans="1:42" s="866" customFormat="1" ht="12.75" customHeight="1">
      <c r="A432" s="1038"/>
      <c r="B432" s="946"/>
      <c r="C432" s="1579"/>
      <c r="D432" s="1029"/>
      <c r="E432" s="2999"/>
      <c r="F432" s="2999"/>
      <c r="G432" s="2999"/>
      <c r="H432" s="2999"/>
      <c r="I432" s="2999"/>
      <c r="J432" s="2999"/>
      <c r="K432" s="2999"/>
      <c r="L432" s="2999"/>
      <c r="M432" s="2999"/>
      <c r="N432" s="2999"/>
      <c r="O432" s="2999"/>
      <c r="P432" s="2999"/>
      <c r="Q432" s="2999"/>
      <c r="R432" s="2999"/>
      <c r="S432" s="2999"/>
      <c r="T432" s="2999"/>
      <c r="U432" s="2999"/>
      <c r="V432" s="2999"/>
      <c r="W432" s="2999"/>
      <c r="X432" s="2999"/>
      <c r="Y432" s="2999"/>
      <c r="Z432" s="2999"/>
      <c r="AA432" s="2999"/>
      <c r="AB432" s="2999"/>
      <c r="AC432" s="2999"/>
      <c r="AD432" s="850"/>
      <c r="AE432" s="1517"/>
      <c r="AF432" s="1517"/>
      <c r="AG432" s="1517"/>
      <c r="AH432" s="1517"/>
      <c r="AI432" s="1517"/>
      <c r="AJ432" s="1517"/>
      <c r="AK432" s="1517"/>
      <c r="AL432" s="1517"/>
      <c r="AM432" s="988"/>
      <c r="AN432" s="923"/>
    </row>
    <row r="433" spans="1:42" s="866" customFormat="1" ht="12.75" customHeight="1">
      <c r="A433" s="983"/>
      <c r="B433" s="929"/>
      <c r="C433" s="1560"/>
      <c r="D433" s="1029"/>
      <c r="E433" s="1001"/>
      <c r="F433" s="1001"/>
      <c r="G433" s="1001"/>
      <c r="H433" s="1001"/>
      <c r="I433" s="1001"/>
      <c r="J433" s="1001"/>
      <c r="K433" s="1001"/>
      <c r="L433" s="1001"/>
      <c r="M433" s="1001"/>
      <c r="N433" s="1001"/>
      <c r="O433" s="1001"/>
      <c r="P433" s="1001"/>
      <c r="Q433" s="1001"/>
      <c r="R433" s="1001"/>
      <c r="S433" s="1001"/>
      <c r="T433" s="1001"/>
      <c r="U433" s="1001"/>
      <c r="V433" s="1001"/>
      <c r="W433" s="1001"/>
      <c r="X433" s="1001"/>
      <c r="Y433" s="1001"/>
      <c r="Z433" s="1001"/>
      <c r="AA433" s="1001"/>
      <c r="AB433" s="1001"/>
      <c r="AC433" s="855"/>
      <c r="AD433" s="855"/>
      <c r="AE433" s="850"/>
      <c r="AF433" s="850"/>
      <c r="AG433" s="850"/>
      <c r="AH433" s="850"/>
      <c r="AI433" s="850"/>
      <c r="AJ433" s="850"/>
      <c r="AK433" s="850"/>
      <c r="AL433" s="1517"/>
      <c r="AM433" s="988"/>
      <c r="AN433" s="923"/>
    </row>
    <row r="434" spans="1:42" s="866" customFormat="1" ht="12.75" customHeight="1">
      <c r="A434" s="983"/>
      <c r="B434" s="946"/>
      <c r="C434" s="1563"/>
      <c r="D434" s="1029" t="s">
        <v>1692</v>
      </c>
      <c r="E434" s="2999" t="s">
        <v>1718</v>
      </c>
      <c r="F434" s="2999"/>
      <c r="G434" s="2999"/>
      <c r="H434" s="2999"/>
      <c r="I434" s="2999"/>
      <c r="J434" s="2999"/>
      <c r="K434" s="2999"/>
      <c r="L434" s="2999"/>
      <c r="M434" s="2999"/>
      <c r="N434" s="2999"/>
      <c r="O434" s="2999"/>
      <c r="P434" s="2999"/>
      <c r="Q434" s="2999"/>
      <c r="R434" s="2999"/>
      <c r="S434" s="2999"/>
      <c r="T434" s="2999"/>
      <c r="U434" s="2999"/>
      <c r="V434" s="2999"/>
      <c r="W434" s="2999"/>
      <c r="X434" s="2999"/>
      <c r="Y434" s="2999"/>
      <c r="Z434" s="2999"/>
      <c r="AA434" s="2999"/>
      <c r="AB434" s="2999"/>
      <c r="AC434" s="2999"/>
      <c r="AD434" s="850"/>
      <c r="AE434" s="850"/>
      <c r="AF434" s="2941" t="s">
        <v>1638</v>
      </c>
      <c r="AG434" s="2941"/>
      <c r="AH434" s="2941"/>
      <c r="AI434" s="2941"/>
      <c r="AJ434" s="2941"/>
      <c r="AK434" s="2941"/>
      <c r="AL434" s="2941"/>
      <c r="AM434" s="988"/>
      <c r="AN434" s="923"/>
    </row>
    <row r="435" spans="1:42" s="866" customFormat="1" ht="12.75" customHeight="1">
      <c r="A435" s="983"/>
      <c r="B435" s="946"/>
      <c r="C435" s="1563"/>
      <c r="D435" s="1029"/>
      <c r="E435" s="2999"/>
      <c r="F435" s="2999"/>
      <c r="G435" s="2999"/>
      <c r="H435" s="2999"/>
      <c r="I435" s="2999"/>
      <c r="J435" s="2999"/>
      <c r="K435" s="2999"/>
      <c r="L435" s="2999"/>
      <c r="M435" s="2999"/>
      <c r="N435" s="2999"/>
      <c r="O435" s="2999"/>
      <c r="P435" s="2999"/>
      <c r="Q435" s="2999"/>
      <c r="R435" s="2999"/>
      <c r="S435" s="2999"/>
      <c r="T435" s="2999"/>
      <c r="U435" s="2999"/>
      <c r="V435" s="2999"/>
      <c r="W435" s="2999"/>
      <c r="X435" s="2999"/>
      <c r="Y435" s="2999"/>
      <c r="Z435" s="2999"/>
      <c r="AA435" s="2999"/>
      <c r="AB435" s="2999"/>
      <c r="AC435" s="2999"/>
      <c r="AD435" s="850"/>
      <c r="AE435" s="929"/>
      <c r="AF435" s="929"/>
      <c r="AG435" s="850"/>
      <c r="AH435" s="929"/>
      <c r="AI435" s="929"/>
      <c r="AJ435" s="929"/>
      <c r="AK435" s="929"/>
      <c r="AL435" s="929"/>
      <c r="AM435" s="988"/>
      <c r="AN435" s="923"/>
    </row>
    <row r="436" spans="1:42" s="866" customFormat="1" ht="12.75" customHeight="1">
      <c r="A436" s="983"/>
      <c r="B436" s="946"/>
      <c r="C436" s="1563"/>
      <c r="D436" s="1029"/>
      <c r="E436" s="2999"/>
      <c r="F436" s="2999"/>
      <c r="G436" s="2999"/>
      <c r="H436" s="2999"/>
      <c r="I436" s="2999"/>
      <c r="J436" s="2999"/>
      <c r="K436" s="2999"/>
      <c r="L436" s="2999"/>
      <c r="M436" s="2999"/>
      <c r="N436" s="2999"/>
      <c r="O436" s="2999"/>
      <c r="P436" s="2999"/>
      <c r="Q436" s="2999"/>
      <c r="R436" s="2999"/>
      <c r="S436" s="2999"/>
      <c r="T436" s="2999"/>
      <c r="U436" s="2999"/>
      <c r="V436" s="2999"/>
      <c r="W436" s="2999"/>
      <c r="X436" s="2999"/>
      <c r="Y436" s="2999"/>
      <c r="Z436" s="2999"/>
      <c r="AA436" s="2999"/>
      <c r="AB436" s="2999"/>
      <c r="AC436" s="2999"/>
      <c r="AD436" s="850"/>
      <c r="AE436" s="929"/>
      <c r="AF436" s="929"/>
      <c r="AG436" s="850"/>
      <c r="AH436" s="929"/>
      <c r="AI436" s="929"/>
      <c r="AJ436" s="929"/>
      <c r="AK436" s="929"/>
      <c r="AL436" s="929"/>
      <c r="AM436" s="988"/>
      <c r="AN436" s="923"/>
    </row>
    <row r="437" spans="1:42" s="925" customFormat="1" ht="12.75" customHeight="1">
      <c r="A437" s="983"/>
      <c r="B437" s="850"/>
      <c r="C437" s="1580"/>
      <c r="D437" s="1029"/>
      <c r="E437" s="850"/>
      <c r="F437" s="850"/>
      <c r="G437" s="850"/>
      <c r="H437" s="850"/>
      <c r="I437" s="850"/>
      <c r="J437" s="850"/>
      <c r="K437" s="850"/>
      <c r="L437" s="850"/>
      <c r="M437" s="850"/>
      <c r="N437" s="850"/>
      <c r="O437" s="850"/>
      <c r="P437" s="850"/>
      <c r="Q437" s="850"/>
      <c r="R437" s="850"/>
      <c r="S437" s="850"/>
      <c r="T437" s="850"/>
      <c r="U437" s="850"/>
      <c r="V437" s="850"/>
      <c r="W437" s="850"/>
      <c r="X437" s="850"/>
      <c r="Y437" s="850"/>
      <c r="Z437" s="850"/>
      <c r="AA437" s="850"/>
      <c r="AB437" s="850"/>
      <c r="AC437" s="850"/>
      <c r="AD437" s="850"/>
      <c r="AE437" s="850"/>
      <c r="AF437" s="853"/>
      <c r="AG437" s="853"/>
      <c r="AH437" s="853"/>
      <c r="AI437" s="853"/>
      <c r="AJ437" s="853"/>
      <c r="AK437" s="853"/>
      <c r="AL437" s="853"/>
      <c r="AM437" s="988"/>
      <c r="AN437" s="924"/>
    </row>
    <row r="438" spans="1:42" s="866" customFormat="1" ht="12.75" customHeight="1">
      <c r="A438" s="1049"/>
      <c r="B438" s="929"/>
      <c r="C438" s="1560"/>
      <c r="D438" s="1029" t="s">
        <v>1703</v>
      </c>
      <c r="E438" s="2999" t="s">
        <v>1719</v>
      </c>
      <c r="F438" s="2999"/>
      <c r="G438" s="2999"/>
      <c r="H438" s="2999"/>
      <c r="I438" s="2999"/>
      <c r="J438" s="2999"/>
      <c r="K438" s="2999"/>
      <c r="L438" s="2999"/>
      <c r="M438" s="2999"/>
      <c r="N438" s="2999"/>
      <c r="O438" s="2999"/>
      <c r="P438" s="2999"/>
      <c r="Q438" s="2999"/>
      <c r="R438" s="2999"/>
      <c r="S438" s="2999"/>
      <c r="T438" s="2999"/>
      <c r="U438" s="2999"/>
      <c r="V438" s="2999"/>
      <c r="W438" s="2999"/>
      <c r="X438" s="2999"/>
      <c r="Y438" s="2999"/>
      <c r="Z438" s="2999"/>
      <c r="AA438" s="2999"/>
      <c r="AB438" s="2999"/>
      <c r="AC438" s="2999"/>
      <c r="AD438" s="850"/>
      <c r="AE438" s="850"/>
      <c r="AF438" s="2941" t="s">
        <v>1702</v>
      </c>
      <c r="AG438" s="2941"/>
      <c r="AH438" s="2941"/>
      <c r="AI438" s="2941"/>
      <c r="AJ438" s="2941"/>
      <c r="AK438" s="2941"/>
      <c r="AL438" s="2941"/>
      <c r="AM438" s="988"/>
      <c r="AN438" s="923"/>
    </row>
    <row r="439" spans="1:42" s="866" customFormat="1" ht="12.75" customHeight="1">
      <c r="A439" s="1520"/>
      <c r="B439" s="929"/>
      <c r="C439" s="1560"/>
      <c r="D439" s="1029"/>
      <c r="E439" s="2999"/>
      <c r="F439" s="2999"/>
      <c r="G439" s="2999"/>
      <c r="H439" s="2999"/>
      <c r="I439" s="2999"/>
      <c r="J439" s="2999"/>
      <c r="K439" s="2999"/>
      <c r="L439" s="2999"/>
      <c r="M439" s="2999"/>
      <c r="N439" s="2999"/>
      <c r="O439" s="2999"/>
      <c r="P439" s="2999"/>
      <c r="Q439" s="2999"/>
      <c r="R439" s="2999"/>
      <c r="S439" s="2999"/>
      <c r="T439" s="2999"/>
      <c r="U439" s="2999"/>
      <c r="V439" s="2999"/>
      <c r="W439" s="2999"/>
      <c r="X439" s="2999"/>
      <c r="Y439" s="2999"/>
      <c r="Z439" s="2999"/>
      <c r="AA439" s="2999"/>
      <c r="AB439" s="2999"/>
      <c r="AC439" s="2999"/>
      <c r="AD439" s="850"/>
      <c r="AE439" s="850"/>
      <c r="AF439" s="1517"/>
      <c r="AG439" s="1517"/>
      <c r="AH439" s="1517"/>
      <c r="AI439" s="1517"/>
      <c r="AJ439" s="1517"/>
      <c r="AK439" s="1517"/>
      <c r="AL439" s="1517"/>
      <c r="AM439" s="988"/>
      <c r="AN439" s="923"/>
    </row>
    <row r="440" spans="1:42" s="866" customFormat="1" ht="12.75" customHeight="1">
      <c r="A440" s="1049"/>
      <c r="B440" s="929"/>
      <c r="C440" s="1560"/>
      <c r="D440" s="1029"/>
      <c r="E440" s="2999"/>
      <c r="F440" s="2999"/>
      <c r="G440" s="2999"/>
      <c r="H440" s="2999"/>
      <c r="I440" s="2999"/>
      <c r="J440" s="2999"/>
      <c r="K440" s="2999"/>
      <c r="L440" s="2999"/>
      <c r="M440" s="2999"/>
      <c r="N440" s="2999"/>
      <c r="O440" s="2999"/>
      <c r="P440" s="2999"/>
      <c r="Q440" s="2999"/>
      <c r="R440" s="2999"/>
      <c r="S440" s="2999"/>
      <c r="T440" s="2999"/>
      <c r="U440" s="2999"/>
      <c r="V440" s="2999"/>
      <c r="W440" s="2999"/>
      <c r="X440" s="2999"/>
      <c r="Y440" s="2999"/>
      <c r="Z440" s="2999"/>
      <c r="AA440" s="2999"/>
      <c r="AB440" s="2999"/>
      <c r="AC440" s="2999"/>
      <c r="AD440" s="850"/>
      <c r="AE440" s="1517"/>
      <c r="AF440" s="1517"/>
      <c r="AG440" s="1517"/>
      <c r="AH440" s="1517"/>
      <c r="AI440" s="1517"/>
      <c r="AJ440" s="1517"/>
      <c r="AK440" s="1517"/>
      <c r="AL440" s="1517"/>
      <c r="AM440" s="988"/>
      <c r="AN440" s="923"/>
    </row>
    <row r="441" spans="1:42" s="866" customFormat="1" ht="12.75" customHeight="1">
      <c r="A441" s="1049"/>
      <c r="B441" s="929"/>
      <c r="C441" s="1560"/>
      <c r="D441" s="1029"/>
      <c r="E441" s="1001"/>
      <c r="F441" s="1001"/>
      <c r="G441" s="1001"/>
      <c r="H441" s="1001"/>
      <c r="I441" s="1001"/>
      <c r="J441" s="1001"/>
      <c r="K441" s="1001"/>
      <c r="L441" s="1001"/>
      <c r="M441" s="1001"/>
      <c r="N441" s="1001"/>
      <c r="O441" s="1001"/>
      <c r="P441" s="1001"/>
      <c r="Q441" s="1001"/>
      <c r="R441" s="1001"/>
      <c r="S441" s="1001"/>
      <c r="T441" s="1001"/>
      <c r="U441" s="1001"/>
      <c r="V441" s="1001"/>
      <c r="W441" s="1001"/>
      <c r="X441" s="1001"/>
      <c r="Y441" s="1001"/>
      <c r="Z441" s="1001"/>
      <c r="AA441" s="1001"/>
      <c r="AB441" s="1001"/>
      <c r="AC441" s="1001"/>
      <c r="AD441" s="850"/>
      <c r="AE441" s="1517"/>
      <c r="AF441" s="850"/>
      <c r="AG441" s="850"/>
      <c r="AH441" s="850"/>
      <c r="AI441" s="850"/>
      <c r="AJ441" s="850"/>
      <c r="AK441" s="850"/>
      <c r="AL441" s="850"/>
      <c r="AM441" s="988"/>
      <c r="AN441" s="923"/>
      <c r="AO441" s="866" t="s">
        <v>628</v>
      </c>
      <c r="AP441" s="1054">
        <v>0</v>
      </c>
    </row>
    <row r="442" spans="1:42" s="866" customFormat="1" ht="12.75" customHeight="1">
      <c r="A442" s="1049"/>
      <c r="B442" s="929"/>
      <c r="C442" s="1560"/>
      <c r="D442" s="1029" t="s">
        <v>1705</v>
      </c>
      <c r="E442" s="2999" t="s">
        <v>1720</v>
      </c>
      <c r="F442" s="2999"/>
      <c r="G442" s="2999"/>
      <c r="H442" s="2999"/>
      <c r="I442" s="2999"/>
      <c r="J442" s="2999"/>
      <c r="K442" s="2999"/>
      <c r="L442" s="2999"/>
      <c r="M442" s="2999"/>
      <c r="N442" s="2999"/>
      <c r="O442" s="2999"/>
      <c r="P442" s="2999"/>
      <c r="Q442" s="2999"/>
      <c r="R442" s="2999"/>
      <c r="S442" s="2999"/>
      <c r="T442" s="2999"/>
      <c r="U442" s="2999"/>
      <c r="V442" s="2999"/>
      <c r="W442" s="2999"/>
      <c r="X442" s="2999"/>
      <c r="Y442" s="2999"/>
      <c r="Z442" s="2999"/>
      <c r="AA442" s="2999"/>
      <c r="AB442" s="2999"/>
      <c r="AC442" s="2999"/>
      <c r="AD442" s="850"/>
      <c r="AE442" s="850"/>
      <c r="AF442" s="2941" t="s">
        <v>1721</v>
      </c>
      <c r="AG442" s="2941"/>
      <c r="AH442" s="2941"/>
      <c r="AI442" s="2941"/>
      <c r="AJ442" s="2941"/>
      <c r="AK442" s="2941"/>
      <c r="AL442" s="2941"/>
      <c r="AM442" s="988"/>
      <c r="AN442" s="923"/>
      <c r="AO442" s="1041" t="s">
        <v>727</v>
      </c>
      <c r="AP442" s="866">
        <v>3</v>
      </c>
    </row>
    <row r="443" spans="1:42" s="866" customFormat="1" ht="12.75" customHeight="1">
      <c r="A443" s="1520"/>
      <c r="B443" s="929"/>
      <c r="C443" s="1560"/>
      <c r="D443" s="1029"/>
      <c r="E443" s="2999"/>
      <c r="F443" s="2999"/>
      <c r="G443" s="2999"/>
      <c r="H443" s="2999"/>
      <c r="I443" s="2999"/>
      <c r="J443" s="2999"/>
      <c r="K443" s="2999"/>
      <c r="L443" s="2999"/>
      <c r="M443" s="2999"/>
      <c r="N443" s="2999"/>
      <c r="O443" s="2999"/>
      <c r="P443" s="2999"/>
      <c r="Q443" s="2999"/>
      <c r="R443" s="2999"/>
      <c r="S443" s="2999"/>
      <c r="T443" s="2999"/>
      <c r="U443" s="2999"/>
      <c r="V443" s="2999"/>
      <c r="W443" s="2999"/>
      <c r="X443" s="2999"/>
      <c r="Y443" s="2999"/>
      <c r="Z443" s="2999"/>
      <c r="AA443" s="2999"/>
      <c r="AB443" s="2999"/>
      <c r="AC443" s="2999"/>
      <c r="AD443" s="850"/>
      <c r="AE443" s="850"/>
      <c r="AF443" s="1517"/>
      <c r="AG443" s="1517"/>
      <c r="AH443" s="1517"/>
      <c r="AI443" s="1517"/>
      <c r="AJ443" s="1517"/>
      <c r="AK443" s="1517"/>
      <c r="AL443" s="1517"/>
      <c r="AM443" s="988"/>
      <c r="AN443" s="923"/>
      <c r="AO443" s="1041"/>
    </row>
    <row r="444" spans="1:42" s="866" customFormat="1" ht="12.75" customHeight="1">
      <c r="A444" s="1049"/>
      <c r="B444" s="929"/>
      <c r="C444" s="1560"/>
      <c r="D444" s="1029"/>
      <c r="E444" s="2999"/>
      <c r="F444" s="2999"/>
      <c r="G444" s="2999"/>
      <c r="H444" s="2999"/>
      <c r="I444" s="2999"/>
      <c r="J444" s="2999"/>
      <c r="K444" s="2999"/>
      <c r="L444" s="2999"/>
      <c r="M444" s="2999"/>
      <c r="N444" s="2999"/>
      <c r="O444" s="2999"/>
      <c r="P444" s="2999"/>
      <c r="Q444" s="2999"/>
      <c r="R444" s="2999"/>
      <c r="S444" s="2999"/>
      <c r="T444" s="2999"/>
      <c r="U444" s="2999"/>
      <c r="V444" s="2999"/>
      <c r="W444" s="2999"/>
      <c r="X444" s="2999"/>
      <c r="Y444" s="2999"/>
      <c r="Z444" s="2999"/>
      <c r="AA444" s="2999"/>
      <c r="AB444" s="2999"/>
      <c r="AC444" s="2999"/>
      <c r="AD444" s="850"/>
      <c r="AE444" s="1517"/>
      <c r="AF444" s="1517"/>
      <c r="AG444" s="1517"/>
      <c r="AH444" s="1517"/>
      <c r="AI444" s="1517"/>
      <c r="AJ444" s="1517"/>
      <c r="AK444" s="1517"/>
      <c r="AL444" s="1517"/>
      <c r="AM444" s="988"/>
      <c r="AN444" s="923"/>
      <c r="AO444" s="1041" t="s">
        <v>544</v>
      </c>
      <c r="AP444" s="866">
        <v>2</v>
      </c>
    </row>
    <row r="445" spans="1:42" s="866" customFormat="1" ht="12.75" customHeight="1">
      <c r="A445" s="1038"/>
      <c r="B445" s="946"/>
      <c r="C445" s="1579"/>
      <c r="D445" s="1029"/>
      <c r="E445" s="1518"/>
      <c r="F445" s="1518"/>
      <c r="G445" s="1518"/>
      <c r="H445" s="1518"/>
      <c r="I445" s="1518"/>
      <c r="J445" s="1518"/>
      <c r="K445" s="1518"/>
      <c r="L445" s="1518"/>
      <c r="M445" s="1518"/>
      <c r="N445" s="1518"/>
      <c r="O445" s="1518"/>
      <c r="P445" s="1518"/>
      <c r="Q445" s="1518"/>
      <c r="R445" s="1518"/>
      <c r="S445" s="1518"/>
      <c r="T445" s="1518"/>
      <c r="U445" s="1518"/>
      <c r="V445" s="1518"/>
      <c r="W445" s="1518"/>
      <c r="X445" s="1518"/>
      <c r="Y445" s="1518"/>
      <c r="Z445" s="1518"/>
      <c r="AA445" s="1518"/>
      <c r="AB445" s="1518"/>
      <c r="AC445" s="1518"/>
      <c r="AD445" s="850"/>
      <c r="AE445" s="1517"/>
      <c r="AF445" s="1517"/>
      <c r="AG445" s="1517"/>
      <c r="AH445" s="1517"/>
      <c r="AI445" s="1517"/>
      <c r="AJ445" s="1517"/>
      <c r="AK445" s="1517"/>
      <c r="AL445" s="1517"/>
      <c r="AM445" s="988"/>
      <c r="AN445" s="923"/>
    </row>
    <row r="446" spans="1:42" s="866" customFormat="1" ht="12.75" customHeight="1">
      <c r="A446" s="1049"/>
      <c r="B446" s="929"/>
      <c r="C446" s="1560"/>
      <c r="D446" s="946" t="s">
        <v>1694</v>
      </c>
      <c r="E446" s="1566"/>
      <c r="F446" s="1566"/>
      <c r="G446" s="1566"/>
      <c r="H446" s="3018" t="s">
        <v>628</v>
      </c>
      <c r="I446" s="3018"/>
      <c r="J446" s="958"/>
      <c r="K446" s="958"/>
      <c r="L446" s="850"/>
      <c r="M446" s="850"/>
      <c r="N446" s="850"/>
      <c r="O446" s="850"/>
      <c r="P446" s="850"/>
      <c r="Q446" s="850"/>
      <c r="R446" s="850"/>
      <c r="S446" s="850"/>
      <c r="T446" s="850"/>
      <c r="U446" s="850"/>
      <c r="V446" s="850"/>
      <c r="W446" s="850"/>
      <c r="X446" s="850"/>
      <c r="Y446" s="850"/>
      <c r="Z446" s="850"/>
      <c r="AA446" s="850"/>
      <c r="AB446" s="850"/>
      <c r="AC446" s="850"/>
      <c r="AD446" s="850"/>
      <c r="AE446" s="850"/>
      <c r="AF446" s="850"/>
      <c r="AG446" s="850"/>
      <c r="AH446" s="850"/>
      <c r="AI446" s="850"/>
      <c r="AJ446" s="850"/>
      <c r="AK446" s="850"/>
      <c r="AL446" s="850"/>
      <c r="AN446" s="923"/>
    </row>
    <row r="447" spans="1:42" s="866" customFormat="1" ht="12.75" customHeight="1">
      <c r="A447" s="1049"/>
      <c r="B447" s="929"/>
      <c r="C447" s="1560"/>
      <c r="D447" s="946"/>
      <c r="E447" s="1566"/>
      <c r="F447" s="1566"/>
      <c r="G447" s="958"/>
      <c r="H447" s="958"/>
      <c r="I447" s="958"/>
      <c r="J447" s="958"/>
      <c r="K447" s="958"/>
      <c r="L447" s="958"/>
      <c r="M447" s="958"/>
      <c r="N447" s="958"/>
      <c r="O447" s="958"/>
      <c r="P447" s="958"/>
      <c r="Q447" s="958"/>
      <c r="R447" s="958"/>
      <c r="S447" s="958"/>
      <c r="T447" s="958"/>
      <c r="U447" s="958"/>
      <c r="V447" s="958"/>
      <c r="W447" s="958"/>
      <c r="X447" s="958"/>
      <c r="Y447" s="958"/>
      <c r="Z447" s="1566"/>
      <c r="AA447" s="1566"/>
      <c r="AB447" s="1566"/>
      <c r="AC447" s="946"/>
      <c r="AD447" s="946"/>
      <c r="AE447" s="946"/>
      <c r="AF447" s="946"/>
      <c r="AG447" s="958"/>
      <c r="AH447" s="958"/>
      <c r="AI447" s="958"/>
      <c r="AJ447" s="958"/>
      <c r="AK447" s="958"/>
      <c r="AL447" s="958"/>
      <c r="AM447" s="867"/>
      <c r="AN447" s="923"/>
    </row>
    <row r="448" spans="1:42" s="866" customFormat="1" ht="12.75" customHeight="1">
      <c r="A448" s="1055"/>
      <c r="B448" s="932"/>
      <c r="C448" s="1576"/>
      <c r="D448" s="942"/>
      <c r="E448" s="1571"/>
      <c r="F448" s="1031"/>
      <c r="G448" s="1031"/>
      <c r="H448" s="1031"/>
      <c r="I448" s="1031"/>
      <c r="J448" s="1031"/>
      <c r="K448" s="1031"/>
      <c r="L448" s="1031"/>
      <c r="M448" s="1031"/>
      <c r="N448" s="1031"/>
      <c r="O448" s="1031"/>
      <c r="P448" s="1031"/>
      <c r="Q448" s="1031"/>
      <c r="R448" s="1031"/>
      <c r="S448" s="1031"/>
      <c r="T448" s="1031"/>
      <c r="U448" s="1031"/>
      <c r="V448" s="1031"/>
      <c r="W448" s="1031"/>
      <c r="X448" s="1031"/>
      <c r="Y448" s="1571"/>
      <c r="Z448" s="1571"/>
      <c r="AA448" s="1571"/>
      <c r="AB448" s="942"/>
      <c r="AC448" s="942"/>
      <c r="AD448" s="942"/>
      <c r="AE448" s="942"/>
      <c r="AF448" s="942"/>
      <c r="AG448" s="942"/>
      <c r="AH448" s="942"/>
      <c r="AI448" s="882" t="s">
        <v>1722</v>
      </c>
      <c r="AJ448" s="2980">
        <f>VLOOKUP($H$446,$AO$393:$AP$401,2,FALSE)</f>
        <v>0</v>
      </c>
      <c r="AK448" s="2982"/>
      <c r="AL448" s="928"/>
      <c r="AM448" s="925"/>
      <c r="AN448" s="923"/>
    </row>
    <row r="449" spans="1:42" s="866" customFormat="1" ht="12.75" customHeight="1">
      <c r="A449" s="1049"/>
      <c r="B449" s="929"/>
      <c r="C449" s="1560"/>
      <c r="D449" s="946"/>
      <c r="E449" s="958"/>
      <c r="F449" s="958"/>
      <c r="G449" s="958"/>
      <c r="H449" s="958"/>
      <c r="I449" s="958"/>
      <c r="J449" s="958"/>
      <c r="K449" s="958"/>
      <c r="L449" s="958"/>
      <c r="M449" s="958"/>
      <c r="N449" s="958"/>
      <c r="O449" s="958"/>
      <c r="P449" s="958"/>
      <c r="Q449" s="958"/>
      <c r="R449" s="958"/>
      <c r="S449" s="958"/>
      <c r="T449" s="958"/>
      <c r="U449" s="958"/>
      <c r="V449" s="958"/>
      <c r="W449" s="958"/>
      <c r="X449" s="958"/>
      <c r="Y449" s="958"/>
      <c r="Z449" s="958"/>
      <c r="AA449" s="958"/>
      <c r="AB449" s="958"/>
      <c r="AC449" s="958"/>
      <c r="AD449" s="1519"/>
      <c r="AE449" s="929"/>
      <c r="AF449" s="929"/>
      <c r="AG449" s="929"/>
      <c r="AH449" s="929"/>
      <c r="AI449" s="929"/>
      <c r="AJ449" s="914"/>
      <c r="AK449" s="946"/>
      <c r="AL449" s="946"/>
      <c r="AM449" s="983"/>
      <c r="AN449" s="923"/>
    </row>
    <row r="450" spans="1:42" s="866" customFormat="1" ht="12.75" customHeight="1">
      <c r="A450" s="1049"/>
      <c r="B450" s="850"/>
      <c r="C450" s="909" t="s">
        <v>1723</v>
      </c>
      <c r="D450" s="1581"/>
      <c r="E450" s="958"/>
      <c r="F450" s="958"/>
      <c r="G450" s="958"/>
      <c r="H450" s="958"/>
      <c r="I450" s="958"/>
      <c r="J450" s="958"/>
      <c r="K450" s="958"/>
      <c r="L450" s="958"/>
      <c r="M450" s="958"/>
      <c r="N450" s="958"/>
      <c r="O450" s="958"/>
      <c r="P450" s="958"/>
      <c r="Q450" s="958"/>
      <c r="R450" s="958"/>
      <c r="S450" s="958"/>
      <c r="T450" s="958"/>
      <c r="U450" s="958"/>
      <c r="V450" s="958"/>
      <c r="W450" s="958"/>
      <c r="X450" s="958"/>
      <c r="Y450" s="958"/>
      <c r="Z450" s="958"/>
      <c r="AA450" s="958"/>
      <c r="AB450" s="958"/>
      <c r="AC450" s="958"/>
      <c r="AD450" s="1519"/>
      <c r="AE450" s="929"/>
      <c r="AF450" s="929"/>
      <c r="AG450" s="929"/>
      <c r="AH450" s="929"/>
      <c r="AI450" s="929"/>
      <c r="AJ450" s="914"/>
      <c r="AK450" s="946"/>
      <c r="AL450" s="946"/>
      <c r="AM450" s="983"/>
      <c r="AN450" s="923"/>
    </row>
    <row r="451" spans="1:42" s="866" customFormat="1" ht="12.75" customHeight="1">
      <c r="A451" s="1049"/>
      <c r="B451" s="914"/>
      <c r="C451" s="1582"/>
      <c r="D451" s="946"/>
      <c r="E451" s="946"/>
      <c r="F451" s="946"/>
      <c r="G451" s="929"/>
      <c r="H451" s="929"/>
      <c r="I451" s="929"/>
      <c r="J451" s="929"/>
      <c r="K451" s="929"/>
      <c r="L451" s="929"/>
      <c r="M451" s="929"/>
      <c r="N451" s="929"/>
      <c r="O451" s="929"/>
      <c r="P451" s="929"/>
      <c r="Q451" s="929"/>
      <c r="R451" s="929"/>
      <c r="S451" s="929"/>
      <c r="T451" s="929"/>
      <c r="U451" s="929"/>
      <c r="V451" s="929"/>
      <c r="W451" s="929"/>
      <c r="X451" s="929"/>
      <c r="Y451" s="929"/>
      <c r="Z451" s="929"/>
      <c r="AA451" s="929"/>
      <c r="AB451" s="929"/>
      <c r="AC451" s="929"/>
      <c r="AD451" s="929"/>
      <c r="AE451" s="929"/>
      <c r="AF451" s="929"/>
      <c r="AG451" s="929"/>
      <c r="AH451" s="929"/>
      <c r="AI451" s="929"/>
      <c r="AJ451" s="850"/>
      <c r="AK451" s="929"/>
      <c r="AL451" s="929"/>
      <c r="AM451" s="949"/>
      <c r="AN451" s="923"/>
    </row>
    <row r="452" spans="1:42" s="925" customFormat="1" ht="12.75" customHeight="1">
      <c r="A452" s="983"/>
      <c r="B452" s="850"/>
      <c r="C452" s="1560"/>
      <c r="D452" s="1029" t="s">
        <v>727</v>
      </c>
      <c r="E452" s="2999" t="s">
        <v>2206</v>
      </c>
      <c r="F452" s="2999"/>
      <c r="G452" s="2999"/>
      <c r="H452" s="2999"/>
      <c r="I452" s="2999"/>
      <c r="J452" s="2999"/>
      <c r="K452" s="2999"/>
      <c r="L452" s="2999"/>
      <c r="M452" s="2999"/>
      <c r="N452" s="2999"/>
      <c r="O452" s="2999"/>
      <c r="P452" s="2999"/>
      <c r="Q452" s="2999"/>
      <c r="R452" s="2999"/>
      <c r="S452" s="2999"/>
      <c r="T452" s="2999"/>
      <c r="U452" s="2999"/>
      <c r="V452" s="2999"/>
      <c r="W452" s="2999"/>
      <c r="X452" s="2999"/>
      <c r="Y452" s="2999"/>
      <c r="Z452" s="2999"/>
      <c r="AA452" s="2999"/>
      <c r="AB452" s="2999"/>
      <c r="AC452" s="850"/>
      <c r="AD452" s="850"/>
      <c r="AE452" s="853"/>
      <c r="AF452" s="2941" t="s">
        <v>1638</v>
      </c>
      <c r="AG452" s="2941"/>
      <c r="AH452" s="2941"/>
      <c r="AI452" s="2941"/>
      <c r="AJ452" s="2941"/>
      <c r="AK452" s="2941"/>
      <c r="AL452" s="2941"/>
      <c r="AM452" s="949"/>
      <c r="AN452" s="924"/>
    </row>
    <row r="453" spans="1:42" s="925" customFormat="1" ht="12.75" customHeight="1">
      <c r="A453" s="983"/>
      <c r="B453" s="946"/>
      <c r="C453" s="1572"/>
      <c r="D453" s="1029"/>
      <c r="E453" s="2999"/>
      <c r="F453" s="2999"/>
      <c r="G453" s="2999"/>
      <c r="H453" s="2999"/>
      <c r="I453" s="2999"/>
      <c r="J453" s="2999"/>
      <c r="K453" s="2999"/>
      <c r="L453" s="2999"/>
      <c r="M453" s="2999"/>
      <c r="N453" s="2999"/>
      <c r="O453" s="2999"/>
      <c r="P453" s="2999"/>
      <c r="Q453" s="2999"/>
      <c r="R453" s="2999"/>
      <c r="S453" s="2999"/>
      <c r="T453" s="2999"/>
      <c r="U453" s="2999"/>
      <c r="V453" s="2999"/>
      <c r="W453" s="2999"/>
      <c r="X453" s="2999"/>
      <c r="Y453" s="2999"/>
      <c r="Z453" s="2999"/>
      <c r="AA453" s="2999"/>
      <c r="AB453" s="2999"/>
      <c r="AC453" s="850"/>
      <c r="AD453" s="850"/>
      <c r="AE453" s="958"/>
      <c r="AF453" s="853"/>
      <c r="AG453" s="853"/>
      <c r="AH453" s="853"/>
      <c r="AI453" s="853"/>
      <c r="AJ453" s="853"/>
      <c r="AK453" s="853"/>
      <c r="AL453" s="853"/>
      <c r="AM453" s="949"/>
      <c r="AN453" s="924"/>
      <c r="AO453" s="3022"/>
      <c r="AP453" s="3022"/>
    </row>
    <row r="454" spans="1:42" s="925" customFormat="1" ht="12.75" customHeight="1">
      <c r="A454" s="983"/>
      <c r="B454" s="946"/>
      <c r="C454" s="1572"/>
      <c r="D454" s="1029"/>
      <c r="E454" s="2999"/>
      <c r="F454" s="2999"/>
      <c r="G454" s="2999"/>
      <c r="H454" s="2999"/>
      <c r="I454" s="2999"/>
      <c r="J454" s="2999"/>
      <c r="K454" s="2999"/>
      <c r="L454" s="2999"/>
      <c r="M454" s="2999"/>
      <c r="N454" s="2999"/>
      <c r="O454" s="2999"/>
      <c r="P454" s="2999"/>
      <c r="Q454" s="2999"/>
      <c r="R454" s="2999"/>
      <c r="S454" s="2999"/>
      <c r="T454" s="2999"/>
      <c r="U454" s="2999"/>
      <c r="V454" s="2999"/>
      <c r="W454" s="2999"/>
      <c r="X454" s="2999"/>
      <c r="Y454" s="2999"/>
      <c r="Z454" s="2999"/>
      <c r="AA454" s="2999"/>
      <c r="AB454" s="2999"/>
      <c r="AC454" s="850"/>
      <c r="AD454" s="850"/>
      <c r="AE454" s="958"/>
      <c r="AF454" s="958"/>
      <c r="AG454" s="958"/>
      <c r="AH454" s="958"/>
      <c r="AI454" s="958"/>
      <c r="AJ454" s="958"/>
      <c r="AK454" s="958"/>
      <c r="AL454" s="958"/>
      <c r="AM454" s="949"/>
      <c r="AN454" s="924"/>
    </row>
    <row r="455" spans="1:42" s="866" customFormat="1" ht="12.75" customHeight="1">
      <c r="A455" s="983"/>
      <c r="B455" s="946"/>
      <c r="C455" s="1572"/>
      <c r="D455" s="1029"/>
      <c r="E455" s="2999"/>
      <c r="F455" s="2999"/>
      <c r="G455" s="2999"/>
      <c r="H455" s="2999"/>
      <c r="I455" s="2999"/>
      <c r="J455" s="2999"/>
      <c r="K455" s="2999"/>
      <c r="L455" s="2999"/>
      <c r="M455" s="2999"/>
      <c r="N455" s="2999"/>
      <c r="O455" s="2999"/>
      <c r="P455" s="2999"/>
      <c r="Q455" s="2999"/>
      <c r="R455" s="2999"/>
      <c r="S455" s="2999"/>
      <c r="T455" s="2999"/>
      <c r="U455" s="2999"/>
      <c r="V455" s="2999"/>
      <c r="W455" s="2999"/>
      <c r="X455" s="2999"/>
      <c r="Y455" s="2999"/>
      <c r="Z455" s="2999"/>
      <c r="AA455" s="2999"/>
      <c r="AB455" s="2999"/>
      <c r="AC455" s="850"/>
      <c r="AD455" s="850"/>
      <c r="AE455" s="958"/>
      <c r="AF455" s="958"/>
      <c r="AG455" s="958"/>
      <c r="AH455" s="958"/>
      <c r="AI455" s="958"/>
      <c r="AJ455" s="958"/>
      <c r="AK455" s="958"/>
      <c r="AL455" s="958"/>
      <c r="AM455" s="949"/>
      <c r="AN455" s="923"/>
      <c r="AO455" s="866" t="s">
        <v>628</v>
      </c>
      <c r="AP455" s="1043">
        <v>0</v>
      </c>
    </row>
    <row r="456" spans="1:42" s="866" customFormat="1" ht="12.75" customHeight="1">
      <c r="A456" s="983"/>
      <c r="B456" s="946"/>
      <c r="C456" s="1572"/>
      <c r="D456" s="1029"/>
      <c r="E456" s="892"/>
      <c r="F456" s="892"/>
      <c r="G456" s="892"/>
      <c r="H456" s="892"/>
      <c r="I456" s="892"/>
      <c r="J456" s="892"/>
      <c r="K456" s="892"/>
      <c r="L456" s="892"/>
      <c r="M456" s="892"/>
      <c r="N456" s="892"/>
      <c r="O456" s="892"/>
      <c r="P456" s="892"/>
      <c r="Q456" s="892"/>
      <c r="R456" s="892"/>
      <c r="S456" s="892"/>
      <c r="T456" s="892"/>
      <c r="U456" s="892"/>
      <c r="V456" s="892"/>
      <c r="W456" s="892"/>
      <c r="X456" s="892"/>
      <c r="Y456" s="892"/>
      <c r="Z456" s="892"/>
      <c r="AA456" s="892"/>
      <c r="AB456" s="892"/>
      <c r="AC456" s="850"/>
      <c r="AD456" s="850"/>
      <c r="AE456" s="958"/>
      <c r="AF456" s="958"/>
      <c r="AG456" s="958"/>
      <c r="AH456" s="958"/>
      <c r="AI456" s="958"/>
      <c r="AJ456" s="958"/>
      <c r="AK456" s="958"/>
      <c r="AL456" s="958"/>
      <c r="AM456" s="949"/>
      <c r="AN456" s="923"/>
      <c r="AO456" s="1041" t="s">
        <v>727</v>
      </c>
      <c r="AP456" s="866">
        <v>2</v>
      </c>
    </row>
    <row r="457" spans="1:42" s="866" customFormat="1" ht="12.75" customHeight="1">
      <c r="A457" s="983"/>
      <c r="B457" s="929"/>
      <c r="C457" s="1560"/>
      <c r="D457" s="1029" t="s">
        <v>544</v>
      </c>
      <c r="E457" s="2999" t="s">
        <v>2208</v>
      </c>
      <c r="F457" s="2999"/>
      <c r="G457" s="2999"/>
      <c r="H457" s="2999"/>
      <c r="I457" s="2999"/>
      <c r="J457" s="2999"/>
      <c r="K457" s="2999"/>
      <c r="L457" s="2999"/>
      <c r="M457" s="2999"/>
      <c r="N457" s="2999"/>
      <c r="O457" s="2999"/>
      <c r="P457" s="2999"/>
      <c r="Q457" s="2999"/>
      <c r="R457" s="2999"/>
      <c r="S457" s="2999"/>
      <c r="T457" s="2999"/>
      <c r="U457" s="2999"/>
      <c r="V457" s="2999"/>
      <c r="W457" s="2999"/>
      <c r="X457" s="2999"/>
      <c r="Y457" s="2999"/>
      <c r="Z457" s="2999"/>
      <c r="AA457" s="2999"/>
      <c r="AB457" s="2999"/>
      <c r="AC457" s="850"/>
      <c r="AD457" s="850"/>
      <c r="AE457" s="850"/>
      <c r="AF457" s="2941" t="s">
        <v>1702</v>
      </c>
      <c r="AG457" s="2941"/>
      <c r="AH457" s="2941"/>
      <c r="AI457" s="2941"/>
      <c r="AJ457" s="2941"/>
      <c r="AK457" s="2941"/>
      <c r="AL457" s="2941"/>
      <c r="AM457" s="949"/>
      <c r="AN457" s="923"/>
      <c r="AO457" s="1041" t="s">
        <v>544</v>
      </c>
      <c r="AP457" s="866">
        <v>1</v>
      </c>
    </row>
    <row r="458" spans="1:42" s="866" customFormat="1" ht="12" customHeight="1">
      <c r="A458" s="949"/>
      <c r="B458" s="850"/>
      <c r="C458" s="1580"/>
      <c r="D458" s="850"/>
      <c r="E458" s="2999"/>
      <c r="F458" s="2999"/>
      <c r="G458" s="2999"/>
      <c r="H458" s="2999"/>
      <c r="I458" s="2999"/>
      <c r="J458" s="2999"/>
      <c r="K458" s="2999"/>
      <c r="L458" s="2999"/>
      <c r="M458" s="2999"/>
      <c r="N458" s="2999"/>
      <c r="O458" s="2999"/>
      <c r="P458" s="2999"/>
      <c r="Q458" s="2999"/>
      <c r="R458" s="2999"/>
      <c r="S458" s="2999"/>
      <c r="T458" s="2999"/>
      <c r="U458" s="2999"/>
      <c r="V458" s="2999"/>
      <c r="W458" s="2999"/>
      <c r="X458" s="2999"/>
      <c r="Y458" s="2999"/>
      <c r="Z458" s="2999"/>
      <c r="AA458" s="2999"/>
      <c r="AB458" s="2999"/>
      <c r="AC458" s="850"/>
      <c r="AD458" s="850"/>
      <c r="AE458" s="958"/>
      <c r="AF458" s="850"/>
      <c r="AG458" s="850"/>
      <c r="AH458" s="850"/>
      <c r="AI458" s="850"/>
      <c r="AJ458" s="850"/>
      <c r="AK458" s="850"/>
      <c r="AL458" s="850"/>
      <c r="AM458" s="949"/>
      <c r="AN458" s="923"/>
    </row>
    <row r="459" spans="1:42" s="866" customFormat="1" ht="12" customHeight="1">
      <c r="A459" s="949"/>
      <c r="B459" s="850"/>
      <c r="C459" s="1580"/>
      <c r="D459" s="850"/>
      <c r="E459" s="2999"/>
      <c r="F459" s="2999"/>
      <c r="G459" s="2999"/>
      <c r="H459" s="2999"/>
      <c r="I459" s="2999"/>
      <c r="J459" s="2999"/>
      <c r="K459" s="2999"/>
      <c r="L459" s="2999"/>
      <c r="M459" s="2999"/>
      <c r="N459" s="2999"/>
      <c r="O459" s="2999"/>
      <c r="P459" s="2999"/>
      <c r="Q459" s="2999"/>
      <c r="R459" s="2999"/>
      <c r="S459" s="2999"/>
      <c r="T459" s="2999"/>
      <c r="U459" s="2999"/>
      <c r="V459" s="2999"/>
      <c r="W459" s="2999"/>
      <c r="X459" s="2999"/>
      <c r="Y459" s="2999"/>
      <c r="Z459" s="2999"/>
      <c r="AA459" s="2999"/>
      <c r="AB459" s="2999"/>
      <c r="AC459" s="850"/>
      <c r="AD459" s="850"/>
      <c r="AE459" s="958"/>
      <c r="AF459" s="850"/>
      <c r="AG459" s="850"/>
      <c r="AH459" s="850"/>
      <c r="AI459" s="850"/>
      <c r="AJ459" s="850"/>
      <c r="AK459" s="850"/>
      <c r="AL459" s="850"/>
      <c r="AM459" s="949"/>
      <c r="AN459" s="923"/>
    </row>
    <row r="460" spans="1:42" s="1057" customFormat="1" ht="12" customHeight="1">
      <c r="A460" s="949"/>
      <c r="B460" s="850"/>
      <c r="C460" s="1580"/>
      <c r="D460" s="850"/>
      <c r="E460" s="2999"/>
      <c r="F460" s="2999"/>
      <c r="G460" s="2999"/>
      <c r="H460" s="2999"/>
      <c r="I460" s="2999"/>
      <c r="J460" s="2999"/>
      <c r="K460" s="2999"/>
      <c r="L460" s="2999"/>
      <c r="M460" s="2999"/>
      <c r="N460" s="2999"/>
      <c r="O460" s="2999"/>
      <c r="P460" s="2999"/>
      <c r="Q460" s="2999"/>
      <c r="R460" s="2999"/>
      <c r="S460" s="2999"/>
      <c r="T460" s="2999"/>
      <c r="U460" s="2999"/>
      <c r="V460" s="2999"/>
      <c r="W460" s="2999"/>
      <c r="X460" s="2999"/>
      <c r="Y460" s="2999"/>
      <c r="Z460" s="2999"/>
      <c r="AA460" s="2999"/>
      <c r="AB460" s="2999"/>
      <c r="AC460" s="850"/>
      <c r="AD460" s="850"/>
      <c r="AE460" s="958"/>
      <c r="AF460" s="958"/>
      <c r="AG460" s="958"/>
      <c r="AH460" s="958"/>
      <c r="AI460" s="958"/>
      <c r="AJ460" s="850"/>
      <c r="AK460" s="929"/>
      <c r="AL460" s="929"/>
      <c r="AM460" s="949"/>
      <c r="AN460" s="1056"/>
    </row>
    <row r="461" spans="1:42" s="1057" customFormat="1" ht="12" customHeight="1">
      <c r="A461" s="949"/>
      <c r="B461" s="850"/>
      <c r="C461" s="1580"/>
      <c r="D461" s="850"/>
      <c r="E461" s="1518"/>
      <c r="F461" s="1518"/>
      <c r="G461" s="1518"/>
      <c r="H461" s="1518"/>
      <c r="I461" s="1518"/>
      <c r="J461" s="1518"/>
      <c r="K461" s="1518"/>
      <c r="L461" s="1518"/>
      <c r="M461" s="1518"/>
      <c r="N461" s="1518"/>
      <c r="O461" s="1518"/>
      <c r="P461" s="1518"/>
      <c r="Q461" s="1518"/>
      <c r="R461" s="1518"/>
      <c r="S461" s="1518"/>
      <c r="T461" s="1518"/>
      <c r="U461" s="1518"/>
      <c r="V461" s="1518"/>
      <c r="W461" s="1518"/>
      <c r="X461" s="1518"/>
      <c r="Y461" s="1518"/>
      <c r="Z461" s="1518"/>
      <c r="AA461" s="1518"/>
      <c r="AB461" s="1518"/>
      <c r="AC461" s="850"/>
      <c r="AD461" s="850"/>
      <c r="AE461" s="958"/>
      <c r="AF461" s="958"/>
      <c r="AG461" s="958"/>
      <c r="AH461" s="958"/>
      <c r="AI461" s="958"/>
      <c r="AJ461" s="850"/>
      <c r="AK461" s="929"/>
      <c r="AL461" s="929"/>
      <c r="AM461" s="949"/>
      <c r="AN461" s="1056"/>
    </row>
    <row r="462" spans="1:42" s="1057" customFormat="1" ht="12.75" customHeight="1">
      <c r="A462" s="949"/>
      <c r="B462" s="850"/>
      <c r="C462" s="1580"/>
      <c r="D462" s="850"/>
      <c r="E462" s="2999" t="s">
        <v>2207</v>
      </c>
      <c r="F462" s="2999"/>
      <c r="G462" s="2999"/>
      <c r="H462" s="2999"/>
      <c r="I462" s="2999"/>
      <c r="J462" s="2999"/>
      <c r="K462" s="2999"/>
      <c r="L462" s="2999"/>
      <c r="M462" s="2999"/>
      <c r="N462" s="2999"/>
      <c r="O462" s="2999"/>
      <c r="P462" s="2999"/>
      <c r="Q462" s="2999"/>
      <c r="R462" s="2999"/>
      <c r="S462" s="2999"/>
      <c r="T462" s="2999"/>
      <c r="U462" s="2999"/>
      <c r="V462" s="2999"/>
      <c r="W462" s="2999"/>
      <c r="X462" s="2999"/>
      <c r="Y462" s="2999"/>
      <c r="Z462" s="2999"/>
      <c r="AA462" s="2999"/>
      <c r="AB462" s="2999"/>
      <c r="AC462" s="850"/>
      <c r="AD462" s="850"/>
      <c r="AE462" s="958"/>
      <c r="AF462" s="958"/>
      <c r="AG462" s="958"/>
      <c r="AH462" s="958"/>
      <c r="AI462" s="958"/>
      <c r="AJ462" s="850"/>
      <c r="AK462" s="929"/>
      <c r="AL462" s="929"/>
      <c r="AM462" s="949"/>
      <c r="AN462" s="1056"/>
    </row>
    <row r="463" spans="1:42" s="1057" customFormat="1" ht="12.75" customHeight="1">
      <c r="A463" s="949"/>
      <c r="B463" s="850"/>
      <c r="C463" s="1580"/>
      <c r="D463" s="850"/>
      <c r="E463" s="2999"/>
      <c r="F463" s="2999"/>
      <c r="G463" s="2999"/>
      <c r="H463" s="2999"/>
      <c r="I463" s="2999"/>
      <c r="J463" s="2999"/>
      <c r="K463" s="2999"/>
      <c r="L463" s="2999"/>
      <c r="M463" s="2999"/>
      <c r="N463" s="2999"/>
      <c r="O463" s="2999"/>
      <c r="P463" s="2999"/>
      <c r="Q463" s="2999"/>
      <c r="R463" s="2999"/>
      <c r="S463" s="2999"/>
      <c r="T463" s="2999"/>
      <c r="U463" s="2999"/>
      <c r="V463" s="2999"/>
      <c r="W463" s="2999"/>
      <c r="X463" s="2999"/>
      <c r="Y463" s="2999"/>
      <c r="Z463" s="2999"/>
      <c r="AA463" s="2999"/>
      <c r="AB463" s="2999"/>
      <c r="AC463" s="850"/>
      <c r="AD463" s="850"/>
      <c r="AE463" s="958"/>
      <c r="AF463" s="958"/>
      <c r="AG463" s="958"/>
      <c r="AH463" s="958"/>
      <c r="AI463" s="958"/>
      <c r="AJ463" s="850"/>
      <c r="AK463" s="929"/>
      <c r="AL463" s="929"/>
      <c r="AM463" s="949"/>
      <c r="AN463" s="1056"/>
    </row>
    <row r="464" spans="1:42" s="1057" customFormat="1" ht="12.75" customHeight="1">
      <c r="A464" s="949"/>
      <c r="B464" s="850"/>
      <c r="C464" s="1580"/>
      <c r="D464" s="850"/>
      <c r="E464" s="2999"/>
      <c r="F464" s="2999"/>
      <c r="G464" s="2999"/>
      <c r="H464" s="2999"/>
      <c r="I464" s="2999"/>
      <c r="J464" s="2999"/>
      <c r="K464" s="2999"/>
      <c r="L464" s="2999"/>
      <c r="M464" s="2999"/>
      <c r="N464" s="2999"/>
      <c r="O464" s="2999"/>
      <c r="P464" s="2999"/>
      <c r="Q464" s="2999"/>
      <c r="R464" s="2999"/>
      <c r="S464" s="2999"/>
      <c r="T464" s="2999"/>
      <c r="U464" s="2999"/>
      <c r="V464" s="2999"/>
      <c r="W464" s="2999"/>
      <c r="X464" s="2999"/>
      <c r="Y464" s="2999"/>
      <c r="Z464" s="2999"/>
      <c r="AA464" s="2999"/>
      <c r="AB464" s="2999"/>
      <c r="AC464" s="850"/>
      <c r="AD464" s="850"/>
      <c r="AE464" s="958"/>
      <c r="AF464" s="958"/>
      <c r="AG464" s="958"/>
      <c r="AH464" s="958"/>
      <c r="AI464" s="958"/>
      <c r="AJ464" s="850"/>
      <c r="AK464" s="929"/>
      <c r="AL464" s="929"/>
      <c r="AM464" s="949"/>
      <c r="AN464" s="1056"/>
    </row>
    <row r="465" spans="1:43" s="1057" customFormat="1" ht="12.75" customHeight="1">
      <c r="A465" s="949"/>
      <c r="B465" s="850"/>
      <c r="C465" s="1580"/>
      <c r="D465" s="850"/>
      <c r="E465" s="1518"/>
      <c r="F465" s="1518"/>
      <c r="G465" s="1518"/>
      <c r="H465" s="1518"/>
      <c r="I465" s="1518"/>
      <c r="J465" s="1518"/>
      <c r="K465" s="1518"/>
      <c r="L465" s="1518"/>
      <c r="M465" s="1518"/>
      <c r="N465" s="1518"/>
      <c r="O465" s="1518"/>
      <c r="P465" s="1518"/>
      <c r="Q465" s="1518"/>
      <c r="R465" s="1518"/>
      <c r="S465" s="1518"/>
      <c r="T465" s="1518"/>
      <c r="U465" s="1518"/>
      <c r="V465" s="1518"/>
      <c r="W465" s="1518"/>
      <c r="X465" s="1518"/>
      <c r="Y465" s="1518"/>
      <c r="Z465" s="1518"/>
      <c r="AA465" s="1518"/>
      <c r="AB465" s="1518"/>
      <c r="AC465" s="850"/>
      <c r="AD465" s="850"/>
      <c r="AE465" s="958"/>
      <c r="AF465" s="958"/>
      <c r="AG465" s="958"/>
      <c r="AH465" s="958"/>
      <c r="AI465" s="958"/>
      <c r="AJ465" s="850"/>
      <c r="AK465" s="929"/>
      <c r="AL465" s="929"/>
      <c r="AM465" s="949"/>
      <c r="AN465" s="1056"/>
    </row>
    <row r="466" spans="1:43" s="1057" customFormat="1" ht="12.75" customHeight="1">
      <c r="A466" s="949"/>
      <c r="B466" s="850"/>
      <c r="C466" s="1580"/>
      <c r="D466" s="946" t="s">
        <v>1694</v>
      </c>
      <c r="E466" s="1566"/>
      <c r="F466" s="1566"/>
      <c r="G466" s="1566"/>
      <c r="H466" s="3018" t="s">
        <v>628</v>
      </c>
      <c r="I466" s="3018"/>
      <c r="J466" s="1518"/>
      <c r="K466" s="1518"/>
      <c r="L466" s="1518"/>
      <c r="M466" s="1518"/>
      <c r="N466" s="1518"/>
      <c r="O466" s="1518"/>
      <c r="P466" s="1518"/>
      <c r="Q466" s="1518"/>
      <c r="R466" s="1518"/>
      <c r="S466" s="1518"/>
      <c r="T466" s="1518"/>
      <c r="U466" s="1518"/>
      <c r="V466" s="1518"/>
      <c r="W466" s="1518"/>
      <c r="X466" s="1518"/>
      <c r="Y466" s="1518"/>
      <c r="Z466" s="1518"/>
      <c r="AA466" s="1518"/>
      <c r="AB466" s="1518"/>
      <c r="AC466" s="850"/>
      <c r="AD466" s="850"/>
      <c r="AE466" s="958"/>
      <c r="AF466" s="958"/>
      <c r="AG466" s="958"/>
      <c r="AH466" s="958"/>
      <c r="AI466" s="958"/>
      <c r="AJ466" s="850"/>
      <c r="AK466" s="929"/>
      <c r="AL466" s="929"/>
      <c r="AM466" s="949"/>
      <c r="AN466" s="1056"/>
      <c r="AP466" s="1057" t="s">
        <v>1724</v>
      </c>
    </row>
    <row r="467" spans="1:43" s="1057" customFormat="1">
      <c r="A467" s="949"/>
      <c r="B467" s="850"/>
      <c r="C467" s="1580"/>
      <c r="D467" s="850"/>
      <c r="E467" s="1518"/>
      <c r="F467" s="1518"/>
      <c r="G467" s="1518"/>
      <c r="H467" s="1518"/>
      <c r="I467" s="1518"/>
      <c r="J467" s="1518"/>
      <c r="K467" s="1518"/>
      <c r="L467" s="1518"/>
      <c r="M467" s="1518"/>
      <c r="N467" s="1518"/>
      <c r="O467" s="1518"/>
      <c r="P467" s="1518"/>
      <c r="Q467" s="1518"/>
      <c r="R467" s="1518"/>
      <c r="S467" s="1518"/>
      <c r="T467" s="1518"/>
      <c r="U467" s="1518"/>
      <c r="V467" s="1518"/>
      <c r="W467" s="1518"/>
      <c r="X467" s="1518"/>
      <c r="Y467" s="1518"/>
      <c r="Z467" s="1518"/>
      <c r="AA467" s="1518"/>
      <c r="AB467" s="1518"/>
      <c r="AC467" s="850"/>
      <c r="AD467" s="850"/>
      <c r="AE467" s="958"/>
      <c r="AF467" s="958"/>
      <c r="AG467" s="958"/>
      <c r="AH467" s="958"/>
      <c r="AI467" s="958"/>
      <c r="AJ467" s="850"/>
      <c r="AK467" s="929"/>
      <c r="AL467" s="929"/>
      <c r="AM467" s="949"/>
      <c r="AN467" s="1056"/>
      <c r="AP467" s="1057" t="s">
        <v>1699</v>
      </c>
    </row>
    <row r="468" spans="1:43" s="1057" customFormat="1" ht="12.75" customHeight="1">
      <c r="A468" s="940"/>
      <c r="B468" s="932"/>
      <c r="C468" s="1576"/>
      <c r="D468" s="932"/>
      <c r="E468" s="932"/>
      <c r="F468" s="932"/>
      <c r="G468" s="932"/>
      <c r="H468" s="932"/>
      <c r="I468" s="932"/>
      <c r="J468" s="1583"/>
      <c r="K468" s="1583"/>
      <c r="L468" s="1031"/>
      <c r="M468" s="1031"/>
      <c r="N468" s="1031"/>
      <c r="O468" s="1031"/>
      <c r="P468" s="1031"/>
      <c r="Q468" s="1031"/>
      <c r="R468" s="1031"/>
      <c r="S468" s="1031"/>
      <c r="T468" s="1031"/>
      <c r="U468" s="1031"/>
      <c r="V468" s="1031"/>
      <c r="W468" s="1031"/>
      <c r="X468" s="1031"/>
      <c r="Y468" s="1571"/>
      <c r="Z468" s="1571"/>
      <c r="AA468" s="1571"/>
      <c r="AB468" s="942"/>
      <c r="AC468" s="942"/>
      <c r="AD468" s="942"/>
      <c r="AE468" s="942"/>
      <c r="AF468" s="942"/>
      <c r="AG468" s="942"/>
      <c r="AH468" s="942"/>
      <c r="AI468" s="882" t="s">
        <v>1725</v>
      </c>
      <c r="AJ468" s="2980">
        <f>VLOOKUP($H$466,$AO$413:$AP$415,2,FALSE)</f>
        <v>0</v>
      </c>
      <c r="AK468" s="2982"/>
      <c r="AL468" s="928"/>
      <c r="AM468" s="925"/>
      <c r="AN468" s="1056"/>
      <c r="AP468" s="1057" t="s">
        <v>1706</v>
      </c>
    </row>
    <row r="469" spans="1:43" s="1057" customFormat="1">
      <c r="A469" s="949"/>
      <c r="B469" s="850"/>
      <c r="C469" s="850"/>
      <c r="D469" s="850"/>
      <c r="E469" s="850"/>
      <c r="F469" s="850"/>
      <c r="G469" s="850"/>
      <c r="H469" s="850"/>
      <c r="I469" s="850"/>
      <c r="J469" s="850"/>
      <c r="K469" s="850"/>
      <c r="L469" s="850"/>
      <c r="M469" s="850"/>
      <c r="N469" s="850"/>
      <c r="O469" s="850"/>
      <c r="P469" s="850"/>
      <c r="Q469" s="850"/>
      <c r="R469" s="850"/>
      <c r="S469" s="850"/>
      <c r="T469" s="850"/>
      <c r="U469" s="850"/>
      <c r="V469" s="850"/>
      <c r="W469" s="850"/>
      <c r="X469" s="850"/>
      <c r="Y469" s="850"/>
      <c r="Z469" s="850"/>
      <c r="AA469" s="850"/>
      <c r="AB469" s="850"/>
      <c r="AC469" s="850"/>
      <c r="AD469" s="850"/>
      <c r="AE469" s="958"/>
      <c r="AF469" s="958"/>
      <c r="AG469" s="958"/>
      <c r="AH469" s="958"/>
      <c r="AI469" s="958"/>
      <c r="AJ469" s="850"/>
      <c r="AK469" s="929"/>
      <c r="AL469" s="929"/>
      <c r="AM469" s="949"/>
      <c r="AN469" s="1056"/>
      <c r="AP469" s="1057" t="s">
        <v>1726</v>
      </c>
    </row>
    <row r="470" spans="1:43" s="1057" customFormat="1" ht="12.75" customHeight="1">
      <c r="A470" s="949"/>
      <c r="B470" s="850"/>
      <c r="C470" s="909" t="s">
        <v>1727</v>
      </c>
      <c r="D470" s="1094"/>
      <c r="E470" s="850"/>
      <c r="F470" s="850"/>
      <c r="G470" s="850"/>
      <c r="H470" s="850"/>
      <c r="I470" s="850"/>
      <c r="J470" s="850"/>
      <c r="K470" s="850"/>
      <c r="L470" s="850"/>
      <c r="M470" s="850"/>
      <c r="N470" s="850"/>
      <c r="O470" s="850"/>
      <c r="P470" s="850"/>
      <c r="Q470" s="850"/>
      <c r="R470" s="850"/>
      <c r="S470" s="850"/>
      <c r="T470" s="850"/>
      <c r="U470" s="850"/>
      <c r="V470" s="850"/>
      <c r="W470" s="850"/>
      <c r="X470" s="850"/>
      <c r="Y470" s="850"/>
      <c r="Z470" s="850"/>
      <c r="AA470" s="850"/>
      <c r="AB470" s="850"/>
      <c r="AC470" s="850"/>
      <c r="AD470" s="850"/>
      <c r="AE470" s="958"/>
      <c r="AF470" s="958"/>
      <c r="AG470" s="958"/>
      <c r="AH470" s="958"/>
      <c r="AI470" s="958"/>
      <c r="AJ470" s="850"/>
      <c r="AK470" s="929"/>
      <c r="AL470" s="929"/>
      <c r="AM470" s="949"/>
      <c r="AN470" s="1056"/>
      <c r="AP470" s="1057" t="s">
        <v>1728</v>
      </c>
    </row>
    <row r="471" spans="1:43" s="1057" customFormat="1" ht="12.75" customHeight="1">
      <c r="A471" s="949"/>
      <c r="B471" s="850"/>
      <c r="C471" s="1580"/>
      <c r="D471" s="850"/>
      <c r="E471" s="850"/>
      <c r="F471" s="850"/>
      <c r="G471" s="850"/>
      <c r="H471" s="850"/>
      <c r="I471" s="850"/>
      <c r="J471" s="850"/>
      <c r="K471" s="850"/>
      <c r="L471" s="850"/>
      <c r="M471" s="850"/>
      <c r="N471" s="850"/>
      <c r="O471" s="850"/>
      <c r="P471" s="850"/>
      <c r="Q471" s="850"/>
      <c r="R471" s="850"/>
      <c r="S471" s="850"/>
      <c r="T471" s="850"/>
      <c r="U471" s="850"/>
      <c r="V471" s="850"/>
      <c r="W471" s="850"/>
      <c r="X471" s="850"/>
      <c r="Y471" s="850"/>
      <c r="Z471" s="850"/>
      <c r="AA471" s="850"/>
      <c r="AB471" s="850"/>
      <c r="AC471" s="850"/>
      <c r="AD471" s="850"/>
      <c r="AE471" s="958"/>
      <c r="AF471" s="958"/>
      <c r="AG471" s="958"/>
      <c r="AH471" s="958"/>
      <c r="AI471" s="958"/>
      <c r="AJ471" s="850"/>
      <c r="AK471" s="929"/>
      <c r="AL471" s="929"/>
      <c r="AM471" s="949"/>
      <c r="AN471" s="1056"/>
      <c r="AP471" s="1057" t="s">
        <v>1729</v>
      </c>
    </row>
    <row r="472" spans="1:43" s="1057" customFormat="1" ht="12.75" customHeight="1">
      <c r="A472" s="1042"/>
      <c r="B472" s="850"/>
      <c r="C472" s="1560"/>
      <c r="D472" s="1029" t="s">
        <v>727</v>
      </c>
      <c r="E472" s="3023" t="s">
        <v>2212</v>
      </c>
      <c r="F472" s="3023"/>
      <c r="G472" s="3023"/>
      <c r="H472" s="3023"/>
      <c r="I472" s="3023"/>
      <c r="J472" s="3023"/>
      <c r="K472" s="3023"/>
      <c r="L472" s="3023"/>
      <c r="M472" s="3023"/>
      <c r="N472" s="3023"/>
      <c r="O472" s="3023"/>
      <c r="P472" s="3023"/>
      <c r="Q472" s="3023"/>
      <c r="R472" s="3023"/>
      <c r="S472" s="3023"/>
      <c r="T472" s="3023"/>
      <c r="U472" s="3023"/>
      <c r="V472" s="3023"/>
      <c r="W472" s="3023"/>
      <c r="X472" s="3023"/>
      <c r="Y472" s="3023"/>
      <c r="Z472" s="3023"/>
      <c r="AA472" s="3023"/>
      <c r="AB472" s="3023"/>
      <c r="AC472" s="850"/>
      <c r="AD472" s="850"/>
      <c r="AE472" s="850"/>
      <c r="AF472" s="2941" t="s">
        <v>1638</v>
      </c>
      <c r="AG472" s="2941"/>
      <c r="AH472" s="2941"/>
      <c r="AI472" s="2941"/>
      <c r="AJ472" s="2941"/>
      <c r="AK472" s="2941"/>
      <c r="AL472" s="2941"/>
      <c r="AM472" s="949"/>
      <c r="AN472" s="1056"/>
      <c r="AP472" s="1058" t="s">
        <v>1730</v>
      </c>
    </row>
    <row r="473" spans="1:43" s="1057" customFormat="1" ht="11.85" customHeight="1">
      <c r="A473" s="983"/>
      <c r="B473" s="946"/>
      <c r="C473" s="1562"/>
      <c r="D473" s="1029"/>
      <c r="E473" s="3023"/>
      <c r="F473" s="3023"/>
      <c r="G473" s="3023"/>
      <c r="H473" s="3023"/>
      <c r="I473" s="3023"/>
      <c r="J473" s="3023"/>
      <c r="K473" s="3023"/>
      <c r="L473" s="3023"/>
      <c r="M473" s="3023"/>
      <c r="N473" s="3023"/>
      <c r="O473" s="3023"/>
      <c r="P473" s="3023"/>
      <c r="Q473" s="3023"/>
      <c r="R473" s="3023"/>
      <c r="S473" s="3023"/>
      <c r="T473" s="3023"/>
      <c r="U473" s="3023"/>
      <c r="V473" s="3023"/>
      <c r="W473" s="3023"/>
      <c r="X473" s="3023"/>
      <c r="Y473" s="3023"/>
      <c r="Z473" s="3023"/>
      <c r="AA473" s="3023"/>
      <c r="AB473" s="3023"/>
      <c r="AC473" s="850"/>
      <c r="AD473" s="850"/>
      <c r="AE473" s="946"/>
      <c r="AF473" s="850"/>
      <c r="AG473" s="850"/>
      <c r="AH473" s="850"/>
      <c r="AI473" s="850"/>
      <c r="AJ473" s="850"/>
      <c r="AK473" s="850"/>
      <c r="AL473" s="850"/>
      <c r="AM473" s="949"/>
      <c r="AN473" s="1056"/>
      <c r="AP473" s="1058" t="s">
        <v>1731</v>
      </c>
    </row>
    <row r="474" spans="1:43" s="1057" customFormat="1" ht="13.9" customHeight="1">
      <c r="A474" s="983"/>
      <c r="B474" s="947"/>
      <c r="C474" s="1563"/>
      <c r="D474" s="1029"/>
      <c r="E474" s="3023"/>
      <c r="F474" s="3023"/>
      <c r="G474" s="3023"/>
      <c r="H474" s="3023"/>
      <c r="I474" s="3023"/>
      <c r="J474" s="3023"/>
      <c r="K474" s="3023"/>
      <c r="L474" s="3023"/>
      <c r="M474" s="3023"/>
      <c r="N474" s="3023"/>
      <c r="O474" s="3023"/>
      <c r="P474" s="3023"/>
      <c r="Q474" s="3023"/>
      <c r="R474" s="3023"/>
      <c r="S474" s="3023"/>
      <c r="T474" s="3023"/>
      <c r="U474" s="3023"/>
      <c r="V474" s="3023"/>
      <c r="W474" s="3023"/>
      <c r="X474" s="3023"/>
      <c r="Y474" s="3023"/>
      <c r="Z474" s="3023"/>
      <c r="AA474" s="3023"/>
      <c r="AB474" s="3023"/>
      <c r="AC474" s="850"/>
      <c r="AD474" s="850"/>
      <c r="AE474" s="958"/>
      <c r="AF474" s="850"/>
      <c r="AG474" s="850"/>
      <c r="AH474" s="850"/>
      <c r="AI474" s="850"/>
      <c r="AJ474" s="850"/>
      <c r="AK474" s="850"/>
      <c r="AL474" s="850"/>
      <c r="AM474" s="949"/>
      <c r="AN474" s="1056"/>
      <c r="AP474" s="1058" t="s">
        <v>1732</v>
      </c>
    </row>
    <row r="475" spans="1:43" s="1057" customFormat="1" ht="13.9" customHeight="1">
      <c r="A475" s="983"/>
      <c r="B475" s="947"/>
      <c r="C475" s="1563"/>
      <c r="D475" s="1029"/>
      <c r="E475" s="1566"/>
      <c r="F475" s="1566"/>
      <c r="G475" s="1566"/>
      <c r="H475" s="1566"/>
      <c r="I475" s="1566"/>
      <c r="J475" s="1566"/>
      <c r="K475" s="1566"/>
      <c r="L475" s="1566"/>
      <c r="M475" s="1566"/>
      <c r="N475" s="1566"/>
      <c r="O475" s="1566"/>
      <c r="P475" s="1566"/>
      <c r="Q475" s="1566"/>
      <c r="R475" s="1566"/>
      <c r="S475" s="1566"/>
      <c r="T475" s="1566"/>
      <c r="U475" s="1566"/>
      <c r="V475" s="1566"/>
      <c r="W475" s="1566"/>
      <c r="X475" s="1566"/>
      <c r="Y475" s="1566"/>
      <c r="Z475" s="1566"/>
      <c r="AA475" s="1566"/>
      <c r="AB475" s="1566"/>
      <c r="AC475" s="850"/>
      <c r="AD475" s="850"/>
      <c r="AE475" s="958"/>
      <c r="AF475" s="850"/>
      <c r="AG475" s="850"/>
      <c r="AH475" s="850"/>
      <c r="AI475" s="850"/>
      <c r="AJ475" s="850"/>
      <c r="AK475" s="850"/>
      <c r="AL475" s="850"/>
      <c r="AM475" s="949"/>
      <c r="AN475" s="1056"/>
      <c r="AP475" s="1060" t="s">
        <v>1734</v>
      </c>
    </row>
    <row r="476" spans="1:43" s="1057" customFormat="1" ht="13.9" customHeight="1">
      <c r="A476" s="983"/>
      <c r="B476" s="929"/>
      <c r="C476" s="1560"/>
      <c r="D476" s="1029" t="s">
        <v>544</v>
      </c>
      <c r="E476" s="3024" t="s">
        <v>1733</v>
      </c>
      <c r="F476" s="3024"/>
      <c r="G476" s="3024"/>
      <c r="H476" s="3024"/>
      <c r="I476" s="3024"/>
      <c r="J476" s="3024"/>
      <c r="K476" s="3024"/>
      <c r="L476" s="3024"/>
      <c r="M476" s="3024"/>
      <c r="N476" s="3024"/>
      <c r="O476" s="3024"/>
      <c r="P476" s="3024"/>
      <c r="Q476" s="3024"/>
      <c r="R476" s="3024"/>
      <c r="S476" s="3024"/>
      <c r="T476" s="3024"/>
      <c r="U476" s="3024"/>
      <c r="V476" s="3024"/>
      <c r="W476" s="3024"/>
      <c r="X476" s="3024"/>
      <c r="Y476" s="3024"/>
      <c r="Z476" s="3024"/>
      <c r="AA476" s="3024"/>
      <c r="AB476" s="3024"/>
      <c r="AC476" s="850"/>
      <c r="AD476" s="850"/>
      <c r="AE476" s="850"/>
      <c r="AF476" s="2941" t="s">
        <v>1702</v>
      </c>
      <c r="AG476" s="2941"/>
      <c r="AH476" s="2941"/>
      <c r="AI476" s="2941"/>
      <c r="AJ476" s="2941"/>
      <c r="AK476" s="2941"/>
      <c r="AL476" s="2941"/>
      <c r="AM476" s="949"/>
      <c r="AN476" s="1059"/>
    </row>
    <row r="477" spans="1:43" s="1057" customFormat="1" ht="12.75" customHeight="1">
      <c r="A477" s="983"/>
      <c r="B477" s="946"/>
      <c r="C477" s="1562"/>
      <c r="D477" s="946"/>
      <c r="E477" s="3024"/>
      <c r="F477" s="3024"/>
      <c r="G477" s="3024"/>
      <c r="H477" s="3024"/>
      <c r="I477" s="3024"/>
      <c r="J477" s="3024"/>
      <c r="K477" s="3024"/>
      <c r="L477" s="3024"/>
      <c r="M477" s="3024"/>
      <c r="N477" s="3024"/>
      <c r="O477" s="3024"/>
      <c r="P477" s="3024"/>
      <c r="Q477" s="3024"/>
      <c r="R477" s="3024"/>
      <c r="S477" s="3024"/>
      <c r="T477" s="3024"/>
      <c r="U477" s="3024"/>
      <c r="V477" s="3024"/>
      <c r="W477" s="3024"/>
      <c r="X477" s="3024"/>
      <c r="Y477" s="3024"/>
      <c r="Z477" s="3024"/>
      <c r="AA477" s="3024"/>
      <c r="AB477" s="3024"/>
      <c r="AC477" s="946"/>
      <c r="AD477" s="946"/>
      <c r="AE477" s="946"/>
      <c r="AF477" s="946"/>
      <c r="AG477" s="946"/>
      <c r="AH477" s="946"/>
      <c r="AI477" s="946"/>
      <c r="AJ477" s="850"/>
      <c r="AK477" s="929"/>
      <c r="AL477" s="929"/>
      <c r="AM477" s="949"/>
      <c r="AN477" s="1056"/>
      <c r="AP477" s="866" t="s">
        <v>628</v>
      </c>
      <c r="AQ477" s="1043">
        <v>0</v>
      </c>
    </row>
    <row r="478" spans="1:43" s="1057" customFormat="1" ht="13.9" customHeight="1">
      <c r="A478" s="983"/>
      <c r="B478" s="946"/>
      <c r="C478" s="1562"/>
      <c r="D478" s="946"/>
      <c r="E478" s="3024"/>
      <c r="F478" s="3024"/>
      <c r="G478" s="3024"/>
      <c r="H478" s="3024"/>
      <c r="I478" s="3024"/>
      <c r="J478" s="3024"/>
      <c r="K478" s="3024"/>
      <c r="L478" s="3024"/>
      <c r="M478" s="3024"/>
      <c r="N478" s="3024"/>
      <c r="O478" s="3024"/>
      <c r="P478" s="3024"/>
      <c r="Q478" s="3024"/>
      <c r="R478" s="3024"/>
      <c r="S478" s="3024"/>
      <c r="T478" s="3024"/>
      <c r="U478" s="3024"/>
      <c r="V478" s="3024"/>
      <c r="W478" s="3024"/>
      <c r="X478" s="3024"/>
      <c r="Y478" s="3024"/>
      <c r="Z478" s="3024"/>
      <c r="AA478" s="3024"/>
      <c r="AB478" s="3024"/>
      <c r="AC478" s="946"/>
      <c r="AD478" s="946"/>
      <c r="AE478" s="946"/>
      <c r="AF478" s="946"/>
      <c r="AG478" s="946"/>
      <c r="AH478" s="946"/>
      <c r="AI478" s="946"/>
      <c r="AJ478" s="850"/>
      <c r="AK478" s="929"/>
      <c r="AL478" s="929"/>
      <c r="AM478" s="949"/>
      <c r="AN478" s="1056"/>
      <c r="AP478" s="1041" t="s">
        <v>727</v>
      </c>
      <c r="AQ478" s="866">
        <v>2</v>
      </c>
    </row>
    <row r="479" spans="1:43" s="1057" customFormat="1" ht="13.9" customHeight="1">
      <c r="A479" s="983"/>
      <c r="B479" s="946"/>
      <c r="C479" s="1562"/>
      <c r="D479" s="946"/>
      <c r="E479" s="1584"/>
      <c r="F479" s="1584"/>
      <c r="G479" s="1584"/>
      <c r="H479" s="1584"/>
      <c r="I479" s="1584"/>
      <c r="J479" s="1584"/>
      <c r="K479" s="1584"/>
      <c r="L479" s="1584"/>
      <c r="M479" s="1584"/>
      <c r="N479" s="1584"/>
      <c r="O479" s="1584"/>
      <c r="P479" s="1584"/>
      <c r="Q479" s="1584"/>
      <c r="R479" s="1584"/>
      <c r="S479" s="1584"/>
      <c r="T479" s="1584"/>
      <c r="U479" s="1584"/>
      <c r="V479" s="1584"/>
      <c r="W479" s="1584"/>
      <c r="X479" s="1584"/>
      <c r="Y479" s="1584"/>
      <c r="Z479" s="1584"/>
      <c r="AA479" s="1584"/>
      <c r="AB479" s="1584"/>
      <c r="AC479" s="946"/>
      <c r="AD479" s="946"/>
      <c r="AE479" s="946"/>
      <c r="AF479" s="946"/>
      <c r="AG479" s="946"/>
      <c r="AH479" s="946"/>
      <c r="AI479" s="946"/>
      <c r="AJ479" s="850"/>
      <c r="AK479" s="929"/>
      <c r="AL479" s="929"/>
      <c r="AM479" s="949"/>
      <c r="AN479" s="1056"/>
      <c r="AP479" s="1041" t="s">
        <v>544</v>
      </c>
      <c r="AQ479" s="866">
        <v>3</v>
      </c>
    </row>
    <row r="480" spans="1:43" s="1057" customFormat="1" ht="13.9" customHeight="1">
      <c r="A480" s="983"/>
      <c r="B480" s="946"/>
      <c r="C480" s="1562"/>
      <c r="D480" s="946" t="s">
        <v>1694</v>
      </c>
      <c r="E480" s="1566"/>
      <c r="F480" s="1566"/>
      <c r="G480" s="1566"/>
      <c r="H480" s="3018" t="s">
        <v>628</v>
      </c>
      <c r="I480" s="3018"/>
      <c r="J480" s="1584"/>
      <c r="K480" s="1584"/>
      <c r="L480" s="1584"/>
      <c r="M480" s="1584"/>
      <c r="N480" s="1584"/>
      <c r="O480" s="1584"/>
      <c r="P480" s="1584"/>
      <c r="Q480" s="1584"/>
      <c r="R480" s="1584"/>
      <c r="S480" s="1584"/>
      <c r="T480" s="1584"/>
      <c r="U480" s="1584"/>
      <c r="V480" s="1584"/>
      <c r="W480" s="1584"/>
      <c r="X480" s="1584"/>
      <c r="Y480" s="1584"/>
      <c r="Z480" s="1584"/>
      <c r="AA480" s="1584"/>
      <c r="AB480" s="1584"/>
      <c r="AC480" s="946"/>
      <c r="AD480" s="946"/>
      <c r="AE480" s="946"/>
      <c r="AF480" s="946"/>
      <c r="AG480" s="946"/>
      <c r="AH480" s="946"/>
      <c r="AI480" s="946"/>
      <c r="AJ480" s="850"/>
      <c r="AK480" s="929"/>
      <c r="AL480" s="929"/>
      <c r="AM480" s="949"/>
      <c r="AN480" s="1056"/>
    </row>
    <row r="481" spans="1:81" s="1058" customFormat="1" ht="14.25" customHeight="1">
      <c r="A481" s="983"/>
      <c r="B481" s="946"/>
      <c r="C481" s="1562"/>
      <c r="D481" s="946"/>
      <c r="E481" s="1584"/>
      <c r="F481" s="1584"/>
      <c r="G481" s="1584"/>
      <c r="H481" s="1584"/>
      <c r="I481" s="1584"/>
      <c r="J481" s="1584"/>
      <c r="K481" s="1584"/>
      <c r="L481" s="1584"/>
      <c r="M481" s="1584"/>
      <c r="N481" s="1584"/>
      <c r="O481" s="1584"/>
      <c r="P481" s="1584"/>
      <c r="Q481" s="1584"/>
      <c r="R481" s="1584"/>
      <c r="S481" s="1584"/>
      <c r="T481" s="1584"/>
      <c r="U481" s="1584"/>
      <c r="V481" s="1584"/>
      <c r="W481" s="1584"/>
      <c r="X481" s="1584"/>
      <c r="Y481" s="1584"/>
      <c r="Z481" s="1584"/>
      <c r="AA481" s="1584"/>
      <c r="AB481" s="1584"/>
      <c r="AC481" s="946"/>
      <c r="AD481" s="946"/>
      <c r="AE481" s="946"/>
      <c r="AF481" s="946"/>
      <c r="AG481" s="946"/>
      <c r="AH481" s="946"/>
      <c r="AI481" s="946"/>
      <c r="AJ481" s="850"/>
      <c r="AK481" s="929"/>
      <c r="AL481" s="929"/>
      <c r="AM481" s="949"/>
      <c r="AN481" s="1061"/>
    </row>
    <row r="482" spans="1:81" s="1058" customFormat="1" ht="12.75" customHeight="1">
      <c r="A482" s="994"/>
      <c r="B482" s="942"/>
      <c r="C482" s="1570"/>
      <c r="D482" s="932"/>
      <c r="E482" s="932"/>
      <c r="F482" s="932"/>
      <c r="G482" s="932"/>
      <c r="H482" s="932"/>
      <c r="I482" s="932"/>
      <c r="J482" s="1585"/>
      <c r="K482" s="1585"/>
      <c r="L482" s="1585"/>
      <c r="M482" s="1585"/>
      <c r="N482" s="1585"/>
      <c r="O482" s="1585"/>
      <c r="P482" s="1585"/>
      <c r="Q482" s="1585"/>
      <c r="R482" s="1585"/>
      <c r="S482" s="1585"/>
      <c r="T482" s="1585"/>
      <c r="U482" s="1031"/>
      <c r="V482" s="1031"/>
      <c r="W482" s="1031"/>
      <c r="X482" s="1031"/>
      <c r="Y482" s="1571"/>
      <c r="Z482" s="1571"/>
      <c r="AA482" s="1571"/>
      <c r="AB482" s="942"/>
      <c r="AC482" s="942"/>
      <c r="AD482" s="942"/>
      <c r="AE482" s="942"/>
      <c r="AF482" s="942"/>
      <c r="AG482" s="942"/>
      <c r="AH482" s="942"/>
      <c r="AI482" s="882" t="s">
        <v>1735</v>
      </c>
      <c r="AJ482" s="2980">
        <f>VLOOKUP($H$480,$AO$413:$AP$415,2,FALSE)</f>
        <v>0</v>
      </c>
      <c r="AK482" s="2982"/>
      <c r="AL482" s="928"/>
      <c r="AM482" s="925"/>
      <c r="AN482" s="1061"/>
      <c r="AP482" s="2980"/>
      <c r="AQ482" s="2982"/>
    </row>
    <row r="483" spans="1:81" s="1057" customFormat="1">
      <c r="A483" s="983"/>
      <c r="B483" s="947"/>
      <c r="C483" s="1563"/>
      <c r="D483" s="1565"/>
      <c r="E483" s="958"/>
      <c r="F483" s="958"/>
      <c r="G483" s="958"/>
      <c r="H483" s="958"/>
      <c r="I483" s="958"/>
      <c r="J483" s="958"/>
      <c r="K483" s="958"/>
      <c r="L483" s="958"/>
      <c r="M483" s="958"/>
      <c r="N483" s="958"/>
      <c r="O483" s="958"/>
      <c r="P483" s="958"/>
      <c r="Q483" s="958"/>
      <c r="R483" s="958"/>
      <c r="S483" s="958"/>
      <c r="T483" s="958"/>
      <c r="U483" s="958"/>
      <c r="V483" s="958"/>
      <c r="W483" s="958"/>
      <c r="X483" s="958"/>
      <c r="Y483" s="958"/>
      <c r="Z483" s="958"/>
      <c r="AA483" s="958"/>
      <c r="AB483" s="958"/>
      <c r="AC483" s="946"/>
      <c r="AD483" s="946"/>
      <c r="AE483" s="946"/>
      <c r="AF483" s="946"/>
      <c r="AG483" s="946"/>
      <c r="AH483" s="946"/>
      <c r="AI483" s="946"/>
      <c r="AJ483" s="914"/>
      <c r="AK483" s="946"/>
      <c r="AL483" s="946"/>
      <c r="AM483" s="983"/>
      <c r="AN483" s="1056"/>
      <c r="AT483" s="51"/>
      <c r="AU483" s="51"/>
      <c r="AV483" s="51"/>
      <c r="AW483" s="51"/>
      <c r="AX483" s="51"/>
      <c r="AY483" s="51"/>
      <c r="AZ483" s="51"/>
    </row>
    <row r="484" spans="1:81" s="1057" customFormat="1">
      <c r="A484" s="983"/>
      <c r="B484" s="850"/>
      <c r="C484" s="909" t="s">
        <v>1736</v>
      </c>
      <c r="D484" s="1586"/>
      <c r="E484" s="958"/>
      <c r="F484" s="958"/>
      <c r="G484" s="958"/>
      <c r="H484" s="958"/>
      <c r="I484" s="958"/>
      <c r="J484" s="958"/>
      <c r="K484" s="958"/>
      <c r="L484" s="958"/>
      <c r="M484" s="958"/>
      <c r="N484" s="958"/>
      <c r="O484" s="958"/>
      <c r="P484" s="958"/>
      <c r="Q484" s="958"/>
      <c r="R484" s="958"/>
      <c r="S484" s="958"/>
      <c r="T484" s="958"/>
      <c r="U484" s="958"/>
      <c r="V484" s="958"/>
      <c r="W484" s="958"/>
      <c r="X484" s="958"/>
      <c r="Y484" s="958"/>
      <c r="Z484" s="958"/>
      <c r="AA484" s="958"/>
      <c r="AB484" s="958"/>
      <c r="AC484" s="946"/>
      <c r="AD484" s="946"/>
      <c r="AE484" s="946"/>
      <c r="AF484" s="946"/>
      <c r="AG484" s="946"/>
      <c r="AH484" s="946"/>
      <c r="AI484" s="946"/>
      <c r="AJ484" s="914"/>
      <c r="AK484" s="946"/>
      <c r="AL484" s="946"/>
      <c r="AM484" s="983"/>
      <c r="AN484" s="1056"/>
      <c r="AT484" s="51"/>
      <c r="AU484" s="51"/>
      <c r="AV484" s="51"/>
      <c r="AW484" s="51"/>
      <c r="AX484" s="51"/>
      <c r="AY484" s="51"/>
      <c r="AZ484" s="51"/>
    </row>
    <row r="485" spans="1:81" s="1057" customFormat="1">
      <c r="A485" s="983"/>
      <c r="B485" s="947"/>
      <c r="C485" s="1563"/>
      <c r="D485" s="1565"/>
      <c r="E485" s="958"/>
      <c r="F485" s="958"/>
      <c r="G485" s="958"/>
      <c r="H485" s="958"/>
      <c r="I485" s="958"/>
      <c r="J485" s="958"/>
      <c r="K485" s="958"/>
      <c r="L485" s="958"/>
      <c r="M485" s="958"/>
      <c r="N485" s="958"/>
      <c r="O485" s="958"/>
      <c r="P485" s="958"/>
      <c r="Q485" s="958"/>
      <c r="R485" s="958"/>
      <c r="S485" s="958"/>
      <c r="T485" s="958"/>
      <c r="U485" s="958"/>
      <c r="V485" s="958"/>
      <c r="W485" s="958"/>
      <c r="X485" s="958"/>
      <c r="Y485" s="958"/>
      <c r="Z485" s="958"/>
      <c r="AA485" s="958"/>
      <c r="AB485" s="958"/>
      <c r="AC485" s="946"/>
      <c r="AD485" s="946"/>
      <c r="AE485" s="946"/>
      <c r="AF485" s="946"/>
      <c r="AG485" s="946"/>
      <c r="AH485" s="946"/>
      <c r="AI485" s="946"/>
      <c r="AJ485" s="914"/>
      <c r="AK485" s="929"/>
      <c r="AL485" s="929"/>
      <c r="AM485" s="949"/>
      <c r="AN485" s="1056"/>
      <c r="AT485" s="51"/>
      <c r="AU485" s="51"/>
      <c r="AV485" s="51"/>
      <c r="AW485" s="51"/>
      <c r="AX485" s="51"/>
      <c r="AY485" s="51"/>
      <c r="AZ485" s="51"/>
    </row>
    <row r="486" spans="1:81" s="1057" customFormat="1">
      <c r="A486" s="983"/>
      <c r="B486" s="850"/>
      <c r="C486" s="1560"/>
      <c r="D486" s="1029" t="s">
        <v>727</v>
      </c>
      <c r="E486" s="2999" t="s">
        <v>2213</v>
      </c>
      <c r="F486" s="2999"/>
      <c r="G486" s="2999"/>
      <c r="H486" s="2999"/>
      <c r="I486" s="2999"/>
      <c r="J486" s="2999"/>
      <c r="K486" s="2999"/>
      <c r="L486" s="2999"/>
      <c r="M486" s="2999"/>
      <c r="N486" s="2999"/>
      <c r="O486" s="2999"/>
      <c r="P486" s="2999"/>
      <c r="Q486" s="2999"/>
      <c r="R486" s="2999"/>
      <c r="S486" s="2999"/>
      <c r="T486" s="2999"/>
      <c r="U486" s="2999"/>
      <c r="V486" s="2999"/>
      <c r="W486" s="2999"/>
      <c r="X486" s="2999"/>
      <c r="Y486" s="2999"/>
      <c r="Z486" s="2999"/>
      <c r="AA486" s="2999"/>
      <c r="AB486" s="2999"/>
      <c r="AC486" s="850"/>
      <c r="AD486" s="850"/>
      <c r="AE486" s="850"/>
      <c r="AF486" s="2941" t="s">
        <v>1638</v>
      </c>
      <c r="AG486" s="2941"/>
      <c r="AH486" s="2941"/>
      <c r="AI486" s="2941"/>
      <c r="AJ486" s="2941"/>
      <c r="AK486" s="2941"/>
      <c r="AL486" s="2941"/>
      <c r="AM486" s="949"/>
      <c r="AN486" s="1056"/>
      <c r="AT486" s="51"/>
      <c r="AU486" s="51"/>
      <c r="AV486" s="51"/>
      <c r="AW486" s="51"/>
      <c r="AX486" s="51"/>
      <c r="AY486" s="51"/>
      <c r="AZ486" s="51"/>
    </row>
    <row r="487" spans="1:81" s="1057" customFormat="1">
      <c r="A487" s="983"/>
      <c r="B487" s="946"/>
      <c r="C487" s="1562"/>
      <c r="D487" s="1029"/>
      <c r="E487" s="2999"/>
      <c r="F487" s="2999"/>
      <c r="G487" s="2999"/>
      <c r="H487" s="2999"/>
      <c r="I487" s="2999"/>
      <c r="J487" s="2999"/>
      <c r="K487" s="2999"/>
      <c r="L487" s="2999"/>
      <c r="M487" s="2999"/>
      <c r="N487" s="2999"/>
      <c r="O487" s="2999"/>
      <c r="P487" s="2999"/>
      <c r="Q487" s="2999"/>
      <c r="R487" s="2999"/>
      <c r="S487" s="2999"/>
      <c r="T487" s="2999"/>
      <c r="U487" s="2999"/>
      <c r="V487" s="2999"/>
      <c r="W487" s="2999"/>
      <c r="X487" s="2999"/>
      <c r="Y487" s="2999"/>
      <c r="Z487" s="2999"/>
      <c r="AA487" s="2999"/>
      <c r="AB487" s="2999"/>
      <c r="AC487" s="850"/>
      <c r="AD487" s="850"/>
      <c r="AE487" s="946"/>
      <c r="AF487" s="946"/>
      <c r="AG487" s="946"/>
      <c r="AH487" s="946"/>
      <c r="AI487" s="946"/>
      <c r="AJ487" s="946"/>
      <c r="AK487" s="946"/>
      <c r="AL487" s="946"/>
      <c r="AM487" s="949"/>
      <c r="AN487" s="1056"/>
      <c r="AT487" s="51"/>
      <c r="AU487" s="51"/>
      <c r="AV487" s="51"/>
      <c r="AW487" s="51"/>
      <c r="AX487" s="51"/>
      <c r="AY487" s="51"/>
      <c r="AZ487" s="51"/>
    </row>
    <row r="488" spans="1:81" s="1057" customFormat="1">
      <c r="A488" s="983"/>
      <c r="B488" s="947"/>
      <c r="C488" s="1563"/>
      <c r="D488" s="1029"/>
      <c r="E488" s="958"/>
      <c r="F488" s="958"/>
      <c r="G488" s="958"/>
      <c r="H488" s="958"/>
      <c r="I488" s="958"/>
      <c r="J488" s="958"/>
      <c r="K488" s="958"/>
      <c r="L488" s="958"/>
      <c r="M488" s="958"/>
      <c r="N488" s="958"/>
      <c r="O488" s="958"/>
      <c r="P488" s="958"/>
      <c r="Q488" s="958"/>
      <c r="R488" s="958"/>
      <c r="S488" s="958"/>
      <c r="T488" s="958"/>
      <c r="U488" s="958"/>
      <c r="V488" s="958"/>
      <c r="W488" s="958"/>
      <c r="X488" s="958"/>
      <c r="Y488" s="958"/>
      <c r="Z488" s="958"/>
      <c r="AA488" s="958"/>
      <c r="AB488" s="958"/>
      <c r="AC488" s="850"/>
      <c r="AD488" s="850"/>
      <c r="AE488" s="946"/>
      <c r="AF488" s="946"/>
      <c r="AG488" s="946"/>
      <c r="AH488" s="946"/>
      <c r="AI488" s="946"/>
      <c r="AJ488" s="946"/>
      <c r="AK488" s="946"/>
      <c r="AL488" s="946"/>
      <c r="AM488" s="949"/>
      <c r="AN488" s="1056"/>
      <c r="AT488" s="51"/>
      <c r="AU488" s="51"/>
      <c r="AV488" s="51"/>
      <c r="AW488" s="51"/>
      <c r="AX488" s="51"/>
      <c r="AY488" s="51"/>
      <c r="AZ488" s="51"/>
    </row>
    <row r="489" spans="1:81" s="1057" customFormat="1" ht="12.75" customHeight="1">
      <c r="A489" s="983"/>
      <c r="B489" s="929"/>
      <c r="C489" s="1560"/>
      <c r="D489" s="1029" t="s">
        <v>544</v>
      </c>
      <c r="E489" s="2999" t="s">
        <v>1737</v>
      </c>
      <c r="F489" s="2999"/>
      <c r="G489" s="2999"/>
      <c r="H489" s="2999"/>
      <c r="I489" s="2999"/>
      <c r="J489" s="2999"/>
      <c r="K489" s="2999"/>
      <c r="L489" s="2999"/>
      <c r="M489" s="2999"/>
      <c r="N489" s="2999"/>
      <c r="O489" s="2999"/>
      <c r="P489" s="2999"/>
      <c r="Q489" s="2999"/>
      <c r="R489" s="2999"/>
      <c r="S489" s="2999"/>
      <c r="T489" s="2999"/>
      <c r="U489" s="2999"/>
      <c r="V489" s="2999"/>
      <c r="W489" s="2999"/>
      <c r="X489" s="2999"/>
      <c r="Y489" s="2999"/>
      <c r="Z489" s="2999"/>
      <c r="AA489" s="2999"/>
      <c r="AB489" s="2999"/>
      <c r="AC489" s="850"/>
      <c r="AD489" s="850"/>
      <c r="AE489" s="850"/>
      <c r="AF489" s="2941" t="s">
        <v>1702</v>
      </c>
      <c r="AG489" s="2941"/>
      <c r="AH489" s="2941"/>
      <c r="AI489" s="2941"/>
      <c r="AJ489" s="2941"/>
      <c r="AK489" s="2941"/>
      <c r="AL489" s="2941"/>
      <c r="AM489" s="949"/>
      <c r="AN489" s="1056"/>
      <c r="AT489" s="51"/>
      <c r="AU489" s="51"/>
      <c r="AV489" s="51"/>
      <c r="AW489" s="51"/>
      <c r="AX489" s="51"/>
      <c r="AY489" s="51"/>
      <c r="AZ489" s="51"/>
    </row>
    <row r="490" spans="1:81" s="1057" customFormat="1">
      <c r="A490" s="983"/>
      <c r="B490" s="946"/>
      <c r="C490" s="1562"/>
      <c r="D490" s="946"/>
      <c r="E490" s="2999"/>
      <c r="F490" s="2999"/>
      <c r="G490" s="2999"/>
      <c r="H490" s="2999"/>
      <c r="I490" s="2999"/>
      <c r="J490" s="2999"/>
      <c r="K490" s="2999"/>
      <c r="L490" s="2999"/>
      <c r="M490" s="2999"/>
      <c r="N490" s="2999"/>
      <c r="O490" s="2999"/>
      <c r="P490" s="2999"/>
      <c r="Q490" s="2999"/>
      <c r="R490" s="2999"/>
      <c r="S490" s="2999"/>
      <c r="T490" s="2999"/>
      <c r="U490" s="2999"/>
      <c r="V490" s="2999"/>
      <c r="W490" s="2999"/>
      <c r="X490" s="2999"/>
      <c r="Y490" s="2999"/>
      <c r="Z490" s="2999"/>
      <c r="AA490" s="2999"/>
      <c r="AB490" s="2999"/>
      <c r="AC490" s="946"/>
      <c r="AD490" s="946"/>
      <c r="AE490" s="946"/>
      <c r="AF490" s="946"/>
      <c r="AG490" s="946"/>
      <c r="AH490" s="946"/>
      <c r="AI490" s="946"/>
      <c r="AJ490" s="850"/>
      <c r="AK490" s="929"/>
      <c r="AL490" s="929"/>
      <c r="AM490" s="949"/>
      <c r="AN490" s="1056"/>
      <c r="AT490" s="51"/>
      <c r="AU490" s="51"/>
      <c r="AV490" s="51"/>
      <c r="AW490" s="51"/>
      <c r="AX490" s="51"/>
      <c r="AY490" s="51"/>
      <c r="AZ490" s="51"/>
    </row>
    <row r="491" spans="1:81" s="1057" customFormat="1">
      <c r="A491" s="983"/>
      <c r="B491" s="946"/>
      <c r="C491" s="1562"/>
      <c r="D491" s="946"/>
      <c r="E491" s="1518"/>
      <c r="F491" s="1518"/>
      <c r="G491" s="1518"/>
      <c r="H491" s="1518"/>
      <c r="I491" s="1518"/>
      <c r="J491" s="1518"/>
      <c r="K491" s="1518"/>
      <c r="L491" s="1518"/>
      <c r="M491" s="1518"/>
      <c r="N491" s="1518"/>
      <c r="O491" s="1518"/>
      <c r="P491" s="1518"/>
      <c r="Q491" s="1518"/>
      <c r="R491" s="1518"/>
      <c r="S491" s="1518"/>
      <c r="T491" s="1518"/>
      <c r="U491" s="1518"/>
      <c r="V491" s="1518"/>
      <c r="W491" s="1518"/>
      <c r="X491" s="1518"/>
      <c r="Y491" s="1518"/>
      <c r="Z491" s="1518"/>
      <c r="AA491" s="1518"/>
      <c r="AB491" s="1518"/>
      <c r="AC491" s="946"/>
      <c r="AD491" s="946"/>
      <c r="AE491" s="946"/>
      <c r="AF491" s="946"/>
      <c r="AG491" s="946"/>
      <c r="AH491" s="946"/>
      <c r="AI491" s="946"/>
      <c r="AJ491" s="850"/>
      <c r="AK491" s="929"/>
      <c r="AL491" s="929"/>
      <c r="AM491" s="949"/>
      <c r="AN491" s="1056"/>
      <c r="AT491" s="51"/>
      <c r="AU491" s="51"/>
      <c r="AV491" s="51"/>
      <c r="AW491" s="51"/>
      <c r="AX491" s="51"/>
      <c r="AY491" s="51"/>
      <c r="AZ491" s="51"/>
    </row>
    <row r="492" spans="1:81" s="1057" customFormat="1" ht="12.75" customHeight="1">
      <c r="A492" s="983"/>
      <c r="B492" s="946"/>
      <c r="C492" s="1562"/>
      <c r="D492" s="946" t="s">
        <v>1694</v>
      </c>
      <c r="E492" s="1566"/>
      <c r="F492" s="1566"/>
      <c r="G492" s="1566"/>
      <c r="H492" s="3018" t="s">
        <v>628</v>
      </c>
      <c r="I492" s="3018"/>
      <c r="J492" s="1518"/>
      <c r="K492" s="1518"/>
      <c r="L492" s="1518"/>
      <c r="M492" s="1518"/>
      <c r="N492" s="1518"/>
      <c r="O492" s="1518"/>
      <c r="P492" s="1518"/>
      <c r="Q492" s="1518"/>
      <c r="R492" s="1518"/>
      <c r="S492" s="1518"/>
      <c r="T492" s="1518"/>
      <c r="U492" s="1518"/>
      <c r="V492" s="1518"/>
      <c r="W492" s="1518"/>
      <c r="X492" s="1518"/>
      <c r="Y492" s="1518"/>
      <c r="Z492" s="1518"/>
      <c r="AA492" s="1518"/>
      <c r="AB492" s="1518"/>
      <c r="AC492" s="946"/>
      <c r="AD492" s="946"/>
      <c r="AE492" s="946"/>
      <c r="AF492" s="946"/>
      <c r="AG492" s="946"/>
      <c r="AH492" s="946"/>
      <c r="AI492" s="946"/>
      <c r="AJ492" s="850"/>
      <c r="AK492" s="929"/>
      <c r="AL492" s="929"/>
      <c r="AM492" s="949"/>
      <c r="AN492" s="1056"/>
      <c r="AT492" s="51"/>
      <c r="AU492" s="51"/>
      <c r="AV492" s="51"/>
      <c r="AW492" s="51"/>
      <c r="AX492" s="51"/>
      <c r="AY492" s="51"/>
      <c r="AZ492" s="51"/>
    </row>
    <row r="493" spans="1:81" s="1057" customFormat="1">
      <c r="A493" s="983"/>
      <c r="B493" s="946"/>
      <c r="C493" s="1562"/>
      <c r="D493" s="946"/>
      <c r="E493" s="1518"/>
      <c r="F493" s="1518"/>
      <c r="G493" s="1518"/>
      <c r="H493" s="1518"/>
      <c r="I493" s="1518"/>
      <c r="J493" s="1518"/>
      <c r="K493" s="1518"/>
      <c r="L493" s="1518"/>
      <c r="M493" s="1518"/>
      <c r="N493" s="1518"/>
      <c r="O493" s="1518"/>
      <c r="P493" s="1518"/>
      <c r="Q493" s="1518"/>
      <c r="R493" s="1518"/>
      <c r="S493" s="1518"/>
      <c r="T493" s="1518"/>
      <c r="U493" s="1518"/>
      <c r="V493" s="1518"/>
      <c r="W493" s="1518"/>
      <c r="X493" s="1518"/>
      <c r="Y493" s="1518"/>
      <c r="Z493" s="1518"/>
      <c r="AA493" s="1518"/>
      <c r="AB493" s="1518"/>
      <c r="AC493" s="946"/>
      <c r="AD493" s="946"/>
      <c r="AE493" s="946"/>
      <c r="AF493" s="946"/>
      <c r="AG493" s="946"/>
      <c r="AH493" s="946"/>
      <c r="AI493" s="946"/>
      <c r="AJ493" s="850"/>
      <c r="AK493" s="929"/>
      <c r="AL493" s="929"/>
      <c r="AM493" s="949"/>
      <c r="AN493" s="1056"/>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057" customFormat="1">
      <c r="A494" s="994"/>
      <c r="B494" s="942"/>
      <c r="C494" s="1570"/>
      <c r="D494" s="942"/>
      <c r="E494" s="1583"/>
      <c r="F494" s="1583"/>
      <c r="G494" s="1583"/>
      <c r="H494" s="1583"/>
      <c r="I494" s="1583"/>
      <c r="J494" s="1583"/>
      <c r="K494" s="1583"/>
      <c r="L494" s="1583"/>
      <c r="M494" s="1583"/>
      <c r="N494" s="1583"/>
      <c r="O494" s="1583"/>
      <c r="P494" s="1583"/>
      <c r="Q494" s="1583"/>
      <c r="R494" s="1583"/>
      <c r="S494" s="1583"/>
      <c r="T494" s="1583"/>
      <c r="U494" s="1583"/>
      <c r="V494" s="1031"/>
      <c r="W494" s="1031"/>
      <c r="X494" s="1031"/>
      <c r="Y494" s="1571"/>
      <c r="Z494" s="1571"/>
      <c r="AA494" s="1571"/>
      <c r="AB494" s="942"/>
      <c r="AC494" s="942"/>
      <c r="AD494" s="942"/>
      <c r="AE494" s="942"/>
      <c r="AF494" s="942"/>
      <c r="AG494" s="942"/>
      <c r="AH494" s="942"/>
      <c r="AI494" s="882" t="s">
        <v>1738</v>
      </c>
      <c r="AJ494" s="2980">
        <f>VLOOKUP($H$492,$AO$427:$AP$429,2,FALSE)</f>
        <v>0</v>
      </c>
      <c r="AK494" s="2982"/>
      <c r="AL494" s="928"/>
      <c r="AM494" s="925"/>
      <c r="AN494" s="1056"/>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057" customFormat="1" ht="12.75" customHeight="1">
      <c r="A495" s="983"/>
      <c r="B495" s="946"/>
      <c r="C495" s="1562"/>
      <c r="D495" s="850"/>
      <c r="E495" s="850"/>
      <c r="F495" s="850"/>
      <c r="G495" s="850"/>
      <c r="H495" s="850"/>
      <c r="I495" s="850"/>
      <c r="J495" s="1518"/>
      <c r="K495" s="1518"/>
      <c r="L495" s="1518"/>
      <c r="M495" s="1518"/>
      <c r="N495" s="850"/>
      <c r="O495" s="850"/>
      <c r="P495" s="850"/>
      <c r="Q495" s="850"/>
      <c r="R495" s="850"/>
      <c r="S495" s="850"/>
      <c r="T495" s="850"/>
      <c r="U495" s="850"/>
      <c r="V495" s="850"/>
      <c r="W495" s="850"/>
      <c r="X495" s="850"/>
      <c r="Y495" s="850"/>
      <c r="Z495" s="850"/>
      <c r="AA495" s="850"/>
      <c r="AB495" s="850"/>
      <c r="AC495" s="850"/>
      <c r="AD495" s="850"/>
      <c r="AE495" s="850"/>
      <c r="AF495" s="850"/>
      <c r="AG495" s="850"/>
      <c r="AH495" s="850"/>
      <c r="AI495" s="850"/>
      <c r="AJ495" s="850"/>
      <c r="AK495" s="850"/>
      <c r="AL495" s="850"/>
      <c r="AM495" s="866"/>
      <c r="AN495" s="1056"/>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057" customFormat="1" ht="12.75" customHeight="1">
      <c r="A496" s="866"/>
      <c r="B496" s="850"/>
      <c r="C496" s="909" t="s">
        <v>1739</v>
      </c>
      <c r="D496" s="850"/>
      <c r="E496" s="850"/>
      <c r="F496" s="850"/>
      <c r="G496" s="850"/>
      <c r="H496" s="850"/>
      <c r="I496" s="850"/>
      <c r="J496" s="850"/>
      <c r="K496" s="850"/>
      <c r="L496" s="850"/>
      <c r="M496" s="850"/>
      <c r="N496" s="850"/>
      <c r="O496" s="850"/>
      <c r="P496" s="850"/>
      <c r="Q496" s="850"/>
      <c r="R496" s="850"/>
      <c r="S496" s="850"/>
      <c r="T496" s="850"/>
      <c r="U496" s="850"/>
      <c r="V496" s="850"/>
      <c r="W496" s="850"/>
      <c r="X496" s="850"/>
      <c r="Y496" s="850"/>
      <c r="Z496" s="850"/>
      <c r="AA496" s="850"/>
      <c r="AB496" s="850"/>
      <c r="AC496" s="850"/>
      <c r="AD496" s="850"/>
      <c r="AE496" s="850"/>
      <c r="AF496" s="850"/>
      <c r="AG496" s="850"/>
      <c r="AH496" s="850"/>
      <c r="AI496" s="850"/>
      <c r="AJ496" s="850"/>
      <c r="AK496" s="850"/>
      <c r="AL496" s="850"/>
      <c r="AM496" s="866"/>
      <c r="AN496" s="1056"/>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057" customFormat="1">
      <c r="A497" s="983"/>
      <c r="B497" s="947"/>
      <c r="C497" s="1587"/>
      <c r="D497" s="947"/>
      <c r="E497" s="947"/>
      <c r="F497" s="946"/>
      <c r="G497" s="946"/>
      <c r="H497" s="947"/>
      <c r="I497" s="947"/>
      <c r="J497" s="947"/>
      <c r="K497" s="947"/>
      <c r="L497" s="947"/>
      <c r="M497" s="947"/>
      <c r="N497" s="947"/>
      <c r="O497" s="947"/>
      <c r="P497" s="947"/>
      <c r="Q497" s="947"/>
      <c r="R497" s="947"/>
      <c r="S497" s="947"/>
      <c r="T497" s="946"/>
      <c r="U497" s="946"/>
      <c r="V497" s="946"/>
      <c r="W497" s="946"/>
      <c r="X497" s="928"/>
      <c r="Y497" s="928"/>
      <c r="Z497" s="928"/>
      <c r="AA497" s="928"/>
      <c r="AB497" s="928"/>
      <c r="AC497" s="946"/>
      <c r="AD497" s="946"/>
      <c r="AE497" s="946"/>
      <c r="AF497" s="946"/>
      <c r="AG497" s="946"/>
      <c r="AH497" s="946"/>
      <c r="AI497" s="946"/>
      <c r="AJ497" s="850"/>
      <c r="AK497" s="929"/>
      <c r="AL497" s="929"/>
      <c r="AM497" s="949"/>
      <c r="AN497" s="1056"/>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057" customFormat="1">
      <c r="A498" s="983"/>
      <c r="B498" s="850"/>
      <c r="C498" s="1560"/>
      <c r="D498" s="1029" t="s">
        <v>727</v>
      </c>
      <c r="E498" s="2999" t="s">
        <v>1740</v>
      </c>
      <c r="F498" s="2999"/>
      <c r="G498" s="2999"/>
      <c r="H498" s="2999"/>
      <c r="I498" s="2999"/>
      <c r="J498" s="2999"/>
      <c r="K498" s="2999"/>
      <c r="L498" s="2999"/>
      <c r="M498" s="2999"/>
      <c r="N498" s="2999"/>
      <c r="O498" s="2999"/>
      <c r="P498" s="2999"/>
      <c r="Q498" s="2999"/>
      <c r="R498" s="2999"/>
      <c r="S498" s="2999"/>
      <c r="T498" s="2999"/>
      <c r="U498" s="2999"/>
      <c r="V498" s="2999"/>
      <c r="W498" s="2999"/>
      <c r="X498" s="2999"/>
      <c r="Y498" s="2999"/>
      <c r="Z498" s="2999"/>
      <c r="AA498" s="2999"/>
      <c r="AB498" s="2999"/>
      <c r="AC498" s="850"/>
      <c r="AD498" s="850"/>
      <c r="AE498" s="850"/>
      <c r="AF498" s="2941" t="s">
        <v>1638</v>
      </c>
      <c r="AG498" s="2941"/>
      <c r="AH498" s="2941"/>
      <c r="AI498" s="2941"/>
      <c r="AJ498" s="2941"/>
      <c r="AK498" s="2941"/>
      <c r="AL498" s="2941"/>
      <c r="AM498" s="949"/>
      <c r="AN498" s="1056"/>
      <c r="AT498" s="51"/>
      <c r="AU498" s="51"/>
      <c r="AV498" s="51"/>
      <c r="AW498" s="51"/>
      <c r="AX498" s="51"/>
      <c r="AY498" s="51"/>
      <c r="AZ498" s="51"/>
    </row>
    <row r="499" spans="1:81" s="1057" customFormat="1">
      <c r="A499" s="983"/>
      <c r="B499" s="850"/>
      <c r="C499" s="1560"/>
      <c r="D499" s="1029"/>
      <c r="E499" s="2999"/>
      <c r="F499" s="2999"/>
      <c r="G499" s="2999"/>
      <c r="H499" s="2999"/>
      <c r="I499" s="2999"/>
      <c r="J499" s="2999"/>
      <c r="K499" s="2999"/>
      <c r="L499" s="2999"/>
      <c r="M499" s="2999"/>
      <c r="N499" s="2999"/>
      <c r="O499" s="2999"/>
      <c r="P499" s="2999"/>
      <c r="Q499" s="2999"/>
      <c r="R499" s="2999"/>
      <c r="S499" s="2999"/>
      <c r="T499" s="2999"/>
      <c r="U499" s="2999"/>
      <c r="V499" s="2999"/>
      <c r="W499" s="2999"/>
      <c r="X499" s="2999"/>
      <c r="Y499" s="2999"/>
      <c r="Z499" s="2999"/>
      <c r="AA499" s="2999"/>
      <c r="AB499" s="2999"/>
      <c r="AC499" s="850"/>
      <c r="AD499" s="850"/>
      <c r="AE499" s="850"/>
      <c r="AF499" s="1517"/>
      <c r="AG499" s="1517"/>
      <c r="AH499" s="1517"/>
      <c r="AI499" s="1517"/>
      <c r="AJ499" s="1517"/>
      <c r="AK499" s="1517"/>
      <c r="AL499" s="1517"/>
      <c r="AM499" s="949"/>
      <c r="AN499" s="1056"/>
      <c r="AT499" s="51"/>
      <c r="AU499" s="51"/>
      <c r="AV499" s="51"/>
      <c r="AW499" s="51"/>
      <c r="AX499" s="51"/>
      <c r="AY499" s="51"/>
      <c r="AZ499" s="51"/>
    </row>
    <row r="500" spans="1:81" s="1057" customFormat="1">
      <c r="A500" s="983"/>
      <c r="B500" s="946"/>
      <c r="C500" s="1562"/>
      <c r="D500" s="1029"/>
      <c r="E500" s="2999"/>
      <c r="F500" s="2999"/>
      <c r="G500" s="2999"/>
      <c r="H500" s="2999"/>
      <c r="I500" s="2999"/>
      <c r="J500" s="2999"/>
      <c r="K500" s="2999"/>
      <c r="L500" s="2999"/>
      <c r="M500" s="2999"/>
      <c r="N500" s="2999"/>
      <c r="O500" s="2999"/>
      <c r="P500" s="2999"/>
      <c r="Q500" s="2999"/>
      <c r="R500" s="2999"/>
      <c r="S500" s="2999"/>
      <c r="T500" s="2999"/>
      <c r="U500" s="2999"/>
      <c r="V500" s="2999"/>
      <c r="W500" s="2999"/>
      <c r="X500" s="2999"/>
      <c r="Y500" s="2999"/>
      <c r="Z500" s="2999"/>
      <c r="AA500" s="2999"/>
      <c r="AB500" s="2999"/>
      <c r="AC500" s="850"/>
      <c r="AD500" s="850"/>
      <c r="AE500" s="850"/>
      <c r="AF500" s="850"/>
      <c r="AG500" s="850"/>
      <c r="AH500" s="850"/>
      <c r="AI500" s="850"/>
      <c r="AJ500" s="850"/>
      <c r="AK500" s="850"/>
      <c r="AL500" s="929"/>
      <c r="AM500" s="949"/>
      <c r="AN500" s="1056"/>
    </row>
    <row r="501" spans="1:81" s="1058" customFormat="1" ht="12.75" customHeight="1">
      <c r="A501" s="983"/>
      <c r="B501" s="946"/>
      <c r="C501" s="1562"/>
      <c r="D501" s="1029"/>
      <c r="E501" s="2999"/>
      <c r="F501" s="2999"/>
      <c r="G501" s="2999"/>
      <c r="H501" s="2999"/>
      <c r="I501" s="2999"/>
      <c r="J501" s="2999"/>
      <c r="K501" s="2999"/>
      <c r="L501" s="2999"/>
      <c r="M501" s="2999"/>
      <c r="N501" s="2999"/>
      <c r="O501" s="2999"/>
      <c r="P501" s="2999"/>
      <c r="Q501" s="2999"/>
      <c r="R501" s="2999"/>
      <c r="S501" s="2999"/>
      <c r="T501" s="2999"/>
      <c r="U501" s="2999"/>
      <c r="V501" s="2999"/>
      <c r="W501" s="2999"/>
      <c r="X501" s="2999"/>
      <c r="Y501" s="2999"/>
      <c r="Z501" s="2999"/>
      <c r="AA501" s="2999"/>
      <c r="AB501" s="2999"/>
      <c r="AC501" s="850"/>
      <c r="AD501" s="850"/>
      <c r="AE501" s="946"/>
      <c r="AF501" s="946"/>
      <c r="AG501" s="929"/>
      <c r="AH501" s="929"/>
      <c r="AI501" s="929"/>
      <c r="AJ501" s="929"/>
      <c r="AK501" s="929"/>
      <c r="AL501" s="929"/>
      <c r="AM501" s="949"/>
      <c r="AN501" s="1062"/>
      <c r="AO501" s="56"/>
    </row>
    <row r="502" spans="1:81" s="1057" customFormat="1">
      <c r="A502" s="1049"/>
      <c r="B502" s="928"/>
      <c r="C502" s="1563"/>
      <c r="D502" s="1029"/>
      <c r="E502" s="1588"/>
      <c r="F502" s="1588"/>
      <c r="G502" s="1588"/>
      <c r="H502" s="1588"/>
      <c r="I502" s="1588"/>
      <c r="J502" s="1588"/>
      <c r="K502" s="1588"/>
      <c r="L502" s="1588"/>
      <c r="M502" s="1588"/>
      <c r="N502" s="1588"/>
      <c r="O502" s="1588"/>
      <c r="P502" s="1588"/>
      <c r="Q502" s="1588"/>
      <c r="R502" s="1588"/>
      <c r="S502" s="1588"/>
      <c r="T502" s="1588"/>
      <c r="U502" s="1588"/>
      <c r="V502" s="1588"/>
      <c r="W502" s="1588"/>
      <c r="X502" s="1588"/>
      <c r="Y502" s="1588"/>
      <c r="Z502" s="1588"/>
      <c r="AA502" s="1588"/>
      <c r="AB502" s="1588"/>
      <c r="AC502" s="850"/>
      <c r="AD502" s="850"/>
      <c r="AE502" s="929"/>
      <c r="AF502" s="850"/>
      <c r="AG502" s="850"/>
      <c r="AH502" s="850"/>
      <c r="AI502" s="850"/>
      <c r="AJ502" s="850"/>
      <c r="AK502" s="850"/>
      <c r="AL502" s="850"/>
      <c r="AM502" s="949"/>
      <c r="AN502" s="1056"/>
      <c r="AO502" s="126"/>
      <c r="AP502" s="51"/>
    </row>
    <row r="503" spans="1:81" s="1057" customFormat="1">
      <c r="A503" s="983"/>
      <c r="B503" s="929"/>
      <c r="C503" s="1560"/>
      <c r="D503" s="1029" t="s">
        <v>544</v>
      </c>
      <c r="E503" s="2999" t="s">
        <v>1741</v>
      </c>
      <c r="F503" s="2999"/>
      <c r="G503" s="2999"/>
      <c r="H503" s="2999"/>
      <c r="I503" s="2999"/>
      <c r="J503" s="2999"/>
      <c r="K503" s="2999"/>
      <c r="L503" s="2999"/>
      <c r="M503" s="2999"/>
      <c r="N503" s="2999"/>
      <c r="O503" s="2999"/>
      <c r="P503" s="2999"/>
      <c r="Q503" s="2999"/>
      <c r="R503" s="2999"/>
      <c r="S503" s="2999"/>
      <c r="T503" s="2999"/>
      <c r="U503" s="2999"/>
      <c r="V503" s="2999"/>
      <c r="W503" s="2999"/>
      <c r="X503" s="2999"/>
      <c r="Y503" s="2999"/>
      <c r="Z503" s="2999"/>
      <c r="AA503" s="2999"/>
      <c r="AB503" s="892"/>
      <c r="AC503" s="850"/>
      <c r="AD503" s="850"/>
      <c r="AE503" s="850"/>
      <c r="AF503" s="2941" t="s">
        <v>1702</v>
      </c>
      <c r="AG503" s="2941"/>
      <c r="AH503" s="2941"/>
      <c r="AI503" s="2941"/>
      <c r="AJ503" s="2941"/>
      <c r="AK503" s="2941"/>
      <c r="AL503" s="2941"/>
      <c r="AM503" s="949"/>
      <c r="AN503" s="1056"/>
      <c r="AO503" s="126"/>
      <c r="AP503" s="51"/>
    </row>
    <row r="504" spans="1:81" s="1057" customFormat="1">
      <c r="A504" s="983"/>
      <c r="B504" s="929"/>
      <c r="C504" s="1560"/>
      <c r="D504" s="1029"/>
      <c r="E504" s="2999"/>
      <c r="F504" s="2999"/>
      <c r="G504" s="2999"/>
      <c r="H504" s="2999"/>
      <c r="I504" s="2999"/>
      <c r="J504" s="2999"/>
      <c r="K504" s="2999"/>
      <c r="L504" s="2999"/>
      <c r="M504" s="2999"/>
      <c r="N504" s="2999"/>
      <c r="O504" s="2999"/>
      <c r="P504" s="2999"/>
      <c r="Q504" s="2999"/>
      <c r="R504" s="2999"/>
      <c r="S504" s="2999"/>
      <c r="T504" s="2999"/>
      <c r="U504" s="2999"/>
      <c r="V504" s="2999"/>
      <c r="W504" s="2999"/>
      <c r="X504" s="2999"/>
      <c r="Y504" s="2999"/>
      <c r="Z504" s="2999"/>
      <c r="AA504" s="2999"/>
      <c r="AB504" s="892"/>
      <c r="AC504" s="850"/>
      <c r="AD504" s="850"/>
      <c r="AE504" s="850"/>
      <c r="AF504" s="1517"/>
      <c r="AG504" s="1517"/>
      <c r="AH504" s="1517"/>
      <c r="AI504" s="1517"/>
      <c r="AJ504" s="1517"/>
      <c r="AK504" s="1517"/>
      <c r="AL504" s="1517"/>
      <c r="AM504" s="949"/>
      <c r="AN504" s="1056"/>
      <c r="AO504" s="126"/>
      <c r="AP504" s="51"/>
    </row>
    <row r="505" spans="1:81" s="1057" customFormat="1">
      <c r="A505" s="983"/>
      <c r="B505" s="929"/>
      <c r="C505" s="1560"/>
      <c r="D505" s="946"/>
      <c r="E505" s="2999"/>
      <c r="F505" s="2999"/>
      <c r="G505" s="2999"/>
      <c r="H505" s="2999"/>
      <c r="I505" s="2999"/>
      <c r="J505" s="2999"/>
      <c r="K505" s="2999"/>
      <c r="L505" s="2999"/>
      <c r="M505" s="2999"/>
      <c r="N505" s="2999"/>
      <c r="O505" s="2999"/>
      <c r="P505" s="2999"/>
      <c r="Q505" s="2999"/>
      <c r="R505" s="2999"/>
      <c r="S505" s="2999"/>
      <c r="T505" s="2999"/>
      <c r="U505" s="2999"/>
      <c r="V505" s="2999"/>
      <c r="W505" s="2999"/>
      <c r="X505" s="2999"/>
      <c r="Y505" s="2999"/>
      <c r="Z505" s="2999"/>
      <c r="AA505" s="2999"/>
      <c r="AB505" s="892"/>
      <c r="AC505" s="1517"/>
      <c r="AD505" s="1517"/>
      <c r="AE505" s="1517"/>
      <c r="AF505" s="1517"/>
      <c r="AG505" s="1517"/>
      <c r="AH505" s="1517"/>
      <c r="AI505" s="1517"/>
      <c r="AJ505" s="850"/>
      <c r="AK505" s="929"/>
      <c r="AL505" s="929"/>
      <c r="AM505" s="949"/>
      <c r="AN505" s="1056"/>
      <c r="AO505" s="126"/>
      <c r="AP505" s="51"/>
    </row>
    <row r="506" spans="1:81" s="1057" customFormat="1">
      <c r="A506" s="983"/>
      <c r="B506" s="929"/>
      <c r="C506" s="1560"/>
      <c r="D506" s="946"/>
      <c r="E506" s="2999"/>
      <c r="F506" s="2999"/>
      <c r="G506" s="2999"/>
      <c r="H506" s="2999"/>
      <c r="I506" s="2999"/>
      <c r="J506" s="2999"/>
      <c r="K506" s="2999"/>
      <c r="L506" s="2999"/>
      <c r="M506" s="2999"/>
      <c r="N506" s="2999"/>
      <c r="O506" s="2999"/>
      <c r="P506" s="2999"/>
      <c r="Q506" s="2999"/>
      <c r="R506" s="2999"/>
      <c r="S506" s="2999"/>
      <c r="T506" s="2999"/>
      <c r="U506" s="2999"/>
      <c r="V506" s="2999"/>
      <c r="W506" s="2999"/>
      <c r="X506" s="2999"/>
      <c r="Y506" s="2999"/>
      <c r="Z506" s="2999"/>
      <c r="AA506" s="2999"/>
      <c r="AB506" s="892"/>
      <c r="AC506" s="1517"/>
      <c r="AD506" s="1517"/>
      <c r="AE506" s="1517"/>
      <c r="AF506" s="1517"/>
      <c r="AG506" s="1517"/>
      <c r="AH506" s="1517"/>
      <c r="AI506" s="1517"/>
      <c r="AJ506" s="850"/>
      <c r="AK506" s="929"/>
      <c r="AL506" s="929"/>
      <c r="AM506" s="949"/>
      <c r="AN506" s="1056"/>
      <c r="AO506" s="126"/>
      <c r="AP506" s="51"/>
    </row>
    <row r="507" spans="1:81" s="1057" customFormat="1">
      <c r="A507" s="983"/>
      <c r="B507" s="929"/>
      <c r="C507" s="1560"/>
      <c r="D507" s="946"/>
      <c r="E507" s="1001"/>
      <c r="F507" s="1001"/>
      <c r="G507" s="1001"/>
      <c r="H507" s="1001"/>
      <c r="I507" s="1001"/>
      <c r="J507" s="1001"/>
      <c r="K507" s="1001"/>
      <c r="L507" s="1001"/>
      <c r="M507" s="1001"/>
      <c r="N507" s="1001"/>
      <c r="O507" s="1001"/>
      <c r="P507" s="1001"/>
      <c r="Q507" s="1001"/>
      <c r="R507" s="1001"/>
      <c r="S507" s="1001"/>
      <c r="T507" s="1001"/>
      <c r="U507" s="1001"/>
      <c r="V507" s="1001"/>
      <c r="W507" s="1001"/>
      <c r="X507" s="1001"/>
      <c r="Y507" s="1001"/>
      <c r="Z507" s="1001"/>
      <c r="AA507" s="1001"/>
      <c r="AB507" s="1001"/>
      <c r="AC507" s="1517"/>
      <c r="AD507" s="1517"/>
      <c r="AE507" s="1517"/>
      <c r="AF507" s="1517"/>
      <c r="AG507" s="1517"/>
      <c r="AH507" s="1517"/>
      <c r="AI507" s="1517"/>
      <c r="AJ507" s="850"/>
      <c r="AK507" s="929"/>
      <c r="AL507" s="929"/>
      <c r="AM507" s="949"/>
      <c r="AN507" s="1056"/>
    </row>
    <row r="508" spans="1:81" s="1057" customFormat="1" ht="12.75" customHeight="1">
      <c r="A508" s="983"/>
      <c r="B508" s="929"/>
      <c r="C508" s="1560"/>
      <c r="D508" s="946" t="s">
        <v>1694</v>
      </c>
      <c r="E508" s="1566"/>
      <c r="F508" s="1566"/>
      <c r="G508" s="1566"/>
      <c r="H508" s="3018" t="s">
        <v>628</v>
      </c>
      <c r="I508" s="3018"/>
      <c r="J508" s="1001"/>
      <c r="K508" s="1001"/>
      <c r="L508" s="1001"/>
      <c r="M508" s="1001"/>
      <c r="N508" s="1001"/>
      <c r="O508" s="1001"/>
      <c r="P508" s="1001"/>
      <c r="Q508" s="1001"/>
      <c r="R508" s="1001"/>
      <c r="S508" s="1001"/>
      <c r="T508" s="1001"/>
      <c r="U508" s="1001"/>
      <c r="V508" s="1001"/>
      <c r="W508" s="1001"/>
      <c r="X508" s="1001"/>
      <c r="Y508" s="1001"/>
      <c r="Z508" s="1001"/>
      <c r="AA508" s="1001"/>
      <c r="AB508" s="1001"/>
      <c r="AC508" s="1517"/>
      <c r="AD508" s="1517"/>
      <c r="AE508" s="1517"/>
      <c r="AF508" s="1517"/>
      <c r="AG508" s="1517"/>
      <c r="AH508" s="1517"/>
      <c r="AI508" s="1517"/>
      <c r="AJ508" s="850"/>
      <c r="AK508" s="929"/>
      <c r="AL508" s="929"/>
      <c r="AM508" s="949"/>
      <c r="AN508" s="1056"/>
    </row>
    <row r="509" spans="1:81" s="1057" customFormat="1" ht="12.75" customHeight="1">
      <c r="A509" s="983"/>
      <c r="B509" s="929"/>
      <c r="C509" s="1560"/>
      <c r="D509" s="946"/>
      <c r="E509" s="1001"/>
      <c r="F509" s="1001"/>
      <c r="G509" s="1001"/>
      <c r="H509" s="1001"/>
      <c r="I509" s="1001"/>
      <c r="J509" s="1001"/>
      <c r="K509" s="1001"/>
      <c r="L509" s="1001"/>
      <c r="M509" s="1001"/>
      <c r="N509" s="1001"/>
      <c r="O509" s="1001"/>
      <c r="P509" s="1001"/>
      <c r="Q509" s="1001"/>
      <c r="R509" s="1001"/>
      <c r="S509" s="1001"/>
      <c r="T509" s="1001"/>
      <c r="U509" s="1001"/>
      <c r="V509" s="1001"/>
      <c r="W509" s="1001"/>
      <c r="X509" s="1001"/>
      <c r="Y509" s="1001"/>
      <c r="Z509" s="1001"/>
      <c r="AA509" s="1001"/>
      <c r="AB509" s="1001"/>
      <c r="AC509" s="1517"/>
      <c r="AD509" s="1517"/>
      <c r="AE509" s="1517"/>
      <c r="AF509" s="1517"/>
      <c r="AG509" s="1517"/>
      <c r="AH509" s="1517"/>
      <c r="AI509" s="1517"/>
      <c r="AJ509" s="850"/>
      <c r="AK509" s="929"/>
      <c r="AL509" s="929"/>
      <c r="AM509" s="949"/>
      <c r="AN509" s="848"/>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057" customFormat="1">
      <c r="A510" s="994"/>
      <c r="B510" s="932"/>
      <c r="C510" s="1576"/>
      <c r="D510" s="942"/>
      <c r="E510" s="1589"/>
      <c r="F510" s="1589"/>
      <c r="G510" s="1589"/>
      <c r="H510" s="1589"/>
      <c r="I510" s="1589"/>
      <c r="J510" s="1589"/>
      <c r="K510" s="1589"/>
      <c r="L510" s="1589"/>
      <c r="M510" s="1589"/>
      <c r="N510" s="1589"/>
      <c r="O510" s="1589"/>
      <c r="P510" s="1589"/>
      <c r="Q510" s="1589"/>
      <c r="R510" s="1589"/>
      <c r="S510" s="1589"/>
      <c r="T510" s="1589"/>
      <c r="U510" s="1589"/>
      <c r="V510" s="1589"/>
      <c r="W510" s="1589"/>
      <c r="X510" s="1589"/>
      <c r="Y510" s="1589"/>
      <c r="Z510" s="1589"/>
      <c r="AA510" s="1589"/>
      <c r="AB510" s="1063"/>
      <c r="AC510" s="1063"/>
      <c r="AD510" s="1063"/>
      <c r="AE510" s="1063"/>
      <c r="AF510" s="1063"/>
      <c r="AG510" s="1063"/>
      <c r="AH510" s="942"/>
      <c r="AI510" s="882" t="s">
        <v>1742</v>
      </c>
      <c r="AJ510" s="2980">
        <f>VLOOKUP($H$508,$AO$441:$AP$444,2,FALSE)</f>
        <v>0</v>
      </c>
      <c r="AK510" s="2982"/>
      <c r="AL510" s="928"/>
      <c r="AM510" s="925"/>
      <c r="AN510" s="848"/>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057" customFormat="1" ht="12.75" customHeight="1">
      <c r="A511" s="1042"/>
      <c r="B511" s="946"/>
      <c r="C511" s="1562"/>
      <c r="D511" s="850"/>
      <c r="E511" s="850"/>
      <c r="F511" s="850"/>
      <c r="G511" s="850"/>
      <c r="H511" s="850"/>
      <c r="I511" s="850"/>
      <c r="J511" s="1001"/>
      <c r="K511" s="1001"/>
      <c r="L511" s="1518"/>
      <c r="M511" s="1518"/>
      <c r="N511" s="1518"/>
      <c r="O511" s="1518"/>
      <c r="P511" s="1518"/>
      <c r="Q511" s="1518"/>
      <c r="R511" s="1518"/>
      <c r="S511" s="1518"/>
      <c r="T511" s="1518"/>
      <c r="U511" s="1518"/>
      <c r="V511" s="958"/>
      <c r="W511" s="958"/>
      <c r="X511" s="958"/>
      <c r="Y511" s="958"/>
      <c r="Z511" s="1566"/>
      <c r="AA511" s="1566"/>
      <c r="AB511" s="1566"/>
      <c r="AC511" s="946"/>
      <c r="AD511" s="946"/>
      <c r="AE511" s="946"/>
      <c r="AF511" s="946"/>
      <c r="AG511" s="946"/>
      <c r="AH511" s="946"/>
      <c r="AI511" s="850"/>
      <c r="AJ511" s="850"/>
      <c r="AK511" s="850"/>
      <c r="AL511" s="850"/>
      <c r="AM511" s="866"/>
      <c r="AN511" s="848"/>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057" customFormat="1">
      <c r="A512" s="866"/>
      <c r="B512" s="850"/>
      <c r="C512" s="909" t="s">
        <v>1732</v>
      </c>
      <c r="D512" s="958"/>
      <c r="E512" s="850"/>
      <c r="F512" s="850"/>
      <c r="G512" s="850"/>
      <c r="H512" s="850"/>
      <c r="I512" s="850"/>
      <c r="J512" s="850"/>
      <c r="K512" s="850"/>
      <c r="L512" s="850"/>
      <c r="M512" s="850"/>
      <c r="N512" s="850"/>
      <c r="O512" s="850"/>
      <c r="P512" s="850"/>
      <c r="Q512" s="850"/>
      <c r="R512" s="850"/>
      <c r="S512" s="850"/>
      <c r="T512" s="850"/>
      <c r="U512" s="850"/>
      <c r="V512" s="850"/>
      <c r="W512" s="850"/>
      <c r="X512" s="850"/>
      <c r="Y512" s="850"/>
      <c r="Z512" s="850"/>
      <c r="AA512" s="850"/>
      <c r="AB512" s="850"/>
      <c r="AC512" s="850"/>
      <c r="AD512" s="850"/>
      <c r="AE512" s="850"/>
      <c r="AF512" s="850"/>
      <c r="AG512" s="850"/>
      <c r="AH512" s="850"/>
      <c r="AI512" s="850"/>
      <c r="AJ512" s="850"/>
      <c r="AK512" s="850"/>
      <c r="AL512" s="850"/>
      <c r="AM512" s="866"/>
      <c r="AN512" s="848"/>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057" customFormat="1">
      <c r="A513" s="983"/>
      <c r="B513" s="958"/>
      <c r="C513" s="850"/>
      <c r="D513" s="850"/>
      <c r="E513" s="958"/>
      <c r="F513" s="958"/>
      <c r="G513" s="958"/>
      <c r="H513" s="958"/>
      <c r="I513" s="958"/>
      <c r="J513" s="958"/>
      <c r="K513" s="958"/>
      <c r="L513" s="958"/>
      <c r="M513" s="958"/>
      <c r="N513" s="958"/>
      <c r="O513" s="958"/>
      <c r="P513" s="958"/>
      <c r="Q513" s="958"/>
      <c r="R513" s="958"/>
      <c r="S513" s="958"/>
      <c r="T513" s="958"/>
      <c r="U513" s="958"/>
      <c r="V513" s="958"/>
      <c r="W513" s="958"/>
      <c r="X513" s="958"/>
      <c r="Y513" s="958"/>
      <c r="Z513" s="958"/>
      <c r="AA513" s="958"/>
      <c r="AB513" s="958"/>
      <c r="AC513" s="958"/>
      <c r="AD513" s="958"/>
      <c r="AE513" s="958"/>
      <c r="AF513" s="958"/>
      <c r="AG513" s="958"/>
      <c r="AH513" s="958"/>
      <c r="AI513" s="929"/>
      <c r="AJ513" s="850"/>
      <c r="AK513" s="929"/>
      <c r="AL513" s="929"/>
      <c r="AM513" s="949"/>
      <c r="AN513" s="848"/>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057" customFormat="1">
      <c r="A514" s="983"/>
      <c r="B514" s="850"/>
      <c r="C514" s="1560"/>
      <c r="D514" s="1029" t="s">
        <v>727</v>
      </c>
      <c r="E514" s="2999" t="s">
        <v>1743</v>
      </c>
      <c r="F514" s="2999"/>
      <c r="G514" s="2999"/>
      <c r="H514" s="2999"/>
      <c r="I514" s="2999"/>
      <c r="J514" s="2999"/>
      <c r="K514" s="2999"/>
      <c r="L514" s="2999"/>
      <c r="M514" s="2999"/>
      <c r="N514" s="2999"/>
      <c r="O514" s="2999"/>
      <c r="P514" s="2999"/>
      <c r="Q514" s="2999"/>
      <c r="R514" s="2999"/>
      <c r="S514" s="2999"/>
      <c r="T514" s="2999"/>
      <c r="U514" s="2999"/>
      <c r="V514" s="2999"/>
      <c r="W514" s="2999"/>
      <c r="X514" s="2999"/>
      <c r="Y514" s="2999"/>
      <c r="Z514" s="2999"/>
      <c r="AA514" s="2999"/>
      <c r="AB514" s="2999"/>
      <c r="AC514" s="850"/>
      <c r="AD514" s="850"/>
      <c r="AE514" s="850"/>
      <c r="AF514" s="2941" t="s">
        <v>1702</v>
      </c>
      <c r="AG514" s="2941"/>
      <c r="AH514" s="2941"/>
      <c r="AI514" s="2941"/>
      <c r="AJ514" s="2941"/>
      <c r="AK514" s="2941"/>
      <c r="AL514" s="2941"/>
      <c r="AM514" s="949"/>
      <c r="AN514" s="848"/>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057" customFormat="1">
      <c r="A515" s="983"/>
      <c r="B515" s="946"/>
      <c r="C515" s="1562"/>
      <c r="D515" s="1029"/>
      <c r="E515" s="2999"/>
      <c r="F515" s="2999"/>
      <c r="G515" s="2999"/>
      <c r="H515" s="2999"/>
      <c r="I515" s="2999"/>
      <c r="J515" s="2999"/>
      <c r="K515" s="2999"/>
      <c r="L515" s="2999"/>
      <c r="M515" s="2999"/>
      <c r="N515" s="2999"/>
      <c r="O515" s="2999"/>
      <c r="P515" s="2999"/>
      <c r="Q515" s="2999"/>
      <c r="R515" s="2999"/>
      <c r="S515" s="2999"/>
      <c r="T515" s="2999"/>
      <c r="U515" s="2999"/>
      <c r="V515" s="2999"/>
      <c r="W515" s="2999"/>
      <c r="X515" s="2999"/>
      <c r="Y515" s="2999"/>
      <c r="Z515" s="2999"/>
      <c r="AA515" s="2999"/>
      <c r="AB515" s="2999"/>
      <c r="AC515" s="850"/>
      <c r="AD515" s="850"/>
      <c r="AE515" s="850"/>
      <c r="AF515" s="850"/>
      <c r="AG515" s="850"/>
      <c r="AH515" s="850"/>
      <c r="AI515" s="850"/>
      <c r="AJ515" s="850"/>
      <c r="AK515" s="850"/>
      <c r="AL515" s="929"/>
      <c r="AM515" s="949"/>
      <c r="AN515" s="848"/>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057" customFormat="1">
      <c r="A516" s="983"/>
      <c r="B516" s="958"/>
      <c r="C516" s="1572"/>
      <c r="D516" s="1029"/>
      <c r="E516" s="958"/>
      <c r="F516" s="958"/>
      <c r="G516" s="958"/>
      <c r="H516" s="958"/>
      <c r="I516" s="958"/>
      <c r="J516" s="958"/>
      <c r="K516" s="958"/>
      <c r="L516" s="958"/>
      <c r="M516" s="958"/>
      <c r="N516" s="958"/>
      <c r="O516" s="958"/>
      <c r="P516" s="958"/>
      <c r="Q516" s="958"/>
      <c r="R516" s="958"/>
      <c r="S516" s="958"/>
      <c r="T516" s="958"/>
      <c r="U516" s="958"/>
      <c r="V516" s="958"/>
      <c r="W516" s="958"/>
      <c r="X516" s="958"/>
      <c r="Y516" s="958"/>
      <c r="Z516" s="958"/>
      <c r="AA516" s="958"/>
      <c r="AB516" s="958"/>
      <c r="AC516" s="850"/>
      <c r="AD516" s="850"/>
      <c r="AE516" s="958"/>
      <c r="AF516" s="958"/>
      <c r="AG516" s="958"/>
      <c r="AH516" s="958"/>
      <c r="AI516" s="958"/>
      <c r="AJ516" s="958"/>
      <c r="AK516" s="929"/>
      <c r="AL516" s="929"/>
      <c r="AM516" s="949"/>
      <c r="AN516" s="848"/>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057" customFormat="1">
      <c r="A517" s="1042"/>
      <c r="B517" s="929"/>
      <c r="C517" s="1560"/>
      <c r="D517" s="1029" t="s">
        <v>544</v>
      </c>
      <c r="E517" s="2999" t="s">
        <v>1744</v>
      </c>
      <c r="F517" s="2999"/>
      <c r="G517" s="2999"/>
      <c r="H517" s="2999"/>
      <c r="I517" s="2999"/>
      <c r="J517" s="2999"/>
      <c r="K517" s="2999"/>
      <c r="L517" s="2999"/>
      <c r="M517" s="2999"/>
      <c r="N517" s="2999"/>
      <c r="O517" s="2999"/>
      <c r="P517" s="2999"/>
      <c r="Q517" s="2999"/>
      <c r="R517" s="2999"/>
      <c r="S517" s="2999"/>
      <c r="T517" s="2999"/>
      <c r="U517" s="2999"/>
      <c r="V517" s="2999"/>
      <c r="W517" s="2999"/>
      <c r="X517" s="2999"/>
      <c r="Y517" s="2999"/>
      <c r="Z517" s="2999"/>
      <c r="AA517" s="2999"/>
      <c r="AB517" s="2999"/>
      <c r="AC517" s="850"/>
      <c r="AD517" s="850"/>
      <c r="AE517" s="850"/>
      <c r="AF517" s="2941" t="s">
        <v>1721</v>
      </c>
      <c r="AG517" s="2941"/>
      <c r="AH517" s="2941"/>
      <c r="AI517" s="2941"/>
      <c r="AJ517" s="2941"/>
      <c r="AK517" s="2941"/>
      <c r="AL517" s="2941"/>
      <c r="AM517" s="949"/>
      <c r="AN517" s="848"/>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057" customFormat="1" ht="12.75" customHeight="1">
      <c r="A518" s="1042"/>
      <c r="B518" s="929"/>
      <c r="C518" s="1560"/>
      <c r="D518" s="1029"/>
      <c r="E518" s="2999"/>
      <c r="F518" s="2999"/>
      <c r="G518" s="2999"/>
      <c r="H518" s="2999"/>
      <c r="I518" s="2999"/>
      <c r="J518" s="2999"/>
      <c r="K518" s="2999"/>
      <c r="L518" s="2999"/>
      <c r="M518" s="2999"/>
      <c r="N518" s="2999"/>
      <c r="O518" s="2999"/>
      <c r="P518" s="2999"/>
      <c r="Q518" s="2999"/>
      <c r="R518" s="2999"/>
      <c r="S518" s="2999"/>
      <c r="T518" s="2999"/>
      <c r="U518" s="2999"/>
      <c r="V518" s="2999"/>
      <c r="W518" s="2999"/>
      <c r="X518" s="2999"/>
      <c r="Y518" s="2999"/>
      <c r="Z518" s="2999"/>
      <c r="AA518" s="2999"/>
      <c r="AB518" s="2999"/>
      <c r="AC518" s="850"/>
      <c r="AD518" s="850"/>
      <c r="AE518" s="1517"/>
      <c r="AF518" s="850"/>
      <c r="AG518" s="850"/>
      <c r="AH518" s="850"/>
      <c r="AI518" s="850"/>
      <c r="AJ518" s="850"/>
      <c r="AK518" s="850"/>
      <c r="AL518" s="850"/>
      <c r="AM518" s="949"/>
      <c r="AN518" s="848"/>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057" customFormat="1">
      <c r="A519" s="983"/>
      <c r="B519" s="946"/>
      <c r="C519" s="1562"/>
      <c r="D519" s="946"/>
      <c r="E519" s="1518"/>
      <c r="F519" s="1518"/>
      <c r="G519" s="1518"/>
      <c r="H519" s="1518"/>
      <c r="I519" s="1518"/>
      <c r="J519" s="1518"/>
      <c r="K519" s="1518"/>
      <c r="L519" s="1518"/>
      <c r="M519" s="1518"/>
      <c r="N519" s="1518"/>
      <c r="O519" s="1518"/>
      <c r="P519" s="1518"/>
      <c r="Q519" s="1518"/>
      <c r="R519" s="1518"/>
      <c r="S519" s="1518"/>
      <c r="T519" s="1518"/>
      <c r="U519" s="1518"/>
      <c r="V519" s="1518"/>
      <c r="W519" s="1518"/>
      <c r="X519" s="1518"/>
      <c r="Y519" s="1518"/>
      <c r="Z519" s="1518"/>
      <c r="AA519" s="1518"/>
      <c r="AB519" s="1518"/>
      <c r="AC519" s="946"/>
      <c r="AD519" s="946"/>
      <c r="AE519" s="958"/>
      <c r="AF519" s="958"/>
      <c r="AG519" s="958"/>
      <c r="AH519" s="958"/>
      <c r="AI519" s="929"/>
      <c r="AJ519" s="850"/>
      <c r="AK519" s="929"/>
      <c r="AL519" s="929"/>
      <c r="AM519" s="949"/>
      <c r="AN519" s="848"/>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057" customFormat="1" ht="12.75" customHeight="1">
      <c r="A520" s="983"/>
      <c r="B520" s="946"/>
      <c r="C520" s="850"/>
      <c r="D520" s="946" t="s">
        <v>1694</v>
      </c>
      <c r="E520" s="1566"/>
      <c r="F520" s="1566"/>
      <c r="G520" s="1566"/>
      <c r="H520" s="3018" t="s">
        <v>628</v>
      </c>
      <c r="I520" s="3018"/>
      <c r="J520" s="1518"/>
      <c r="K520" s="1518"/>
      <c r="L520" s="1518"/>
      <c r="M520" s="1518"/>
      <c r="N520" s="1518"/>
      <c r="O520" s="1518"/>
      <c r="P520" s="1518"/>
      <c r="Q520" s="850"/>
      <c r="R520" s="850"/>
      <c r="S520" s="850"/>
      <c r="T520" s="850"/>
      <c r="U520" s="850"/>
      <c r="V520" s="850"/>
      <c r="W520" s="1518"/>
      <c r="X520" s="1518"/>
      <c r="Y520" s="1518"/>
      <c r="Z520" s="1518"/>
      <c r="AA520" s="1518"/>
      <c r="AB520" s="1518"/>
      <c r="AC520" s="946"/>
      <c r="AD520" s="946"/>
      <c r="AE520" s="958"/>
      <c r="AF520" s="958"/>
      <c r="AG520" s="958"/>
      <c r="AH520" s="958"/>
      <c r="AI520" s="929"/>
      <c r="AJ520" s="850"/>
      <c r="AK520" s="929"/>
      <c r="AL520" s="929"/>
      <c r="AM520" s="949"/>
      <c r="AN520" s="848"/>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057" customFormat="1" ht="12.75" customHeight="1">
      <c r="A521" s="983"/>
      <c r="B521" s="958"/>
      <c r="C521" s="1572"/>
      <c r="D521" s="958"/>
      <c r="E521" s="958"/>
      <c r="F521" s="958"/>
      <c r="G521" s="958"/>
      <c r="H521" s="958"/>
      <c r="I521" s="958"/>
      <c r="J521" s="958"/>
      <c r="K521" s="958"/>
      <c r="L521" s="958"/>
      <c r="M521" s="958"/>
      <c r="N521" s="958"/>
      <c r="O521" s="958"/>
      <c r="P521" s="958"/>
      <c r="Q521" s="958"/>
      <c r="R521" s="958"/>
      <c r="S521" s="958"/>
      <c r="T521" s="958"/>
      <c r="U521" s="958"/>
      <c r="V521" s="958"/>
      <c r="W521" s="958"/>
      <c r="X521" s="958"/>
      <c r="Y521" s="958"/>
      <c r="Z521" s="958"/>
      <c r="AA521" s="958"/>
      <c r="AB521" s="958"/>
      <c r="AC521" s="958"/>
      <c r="AD521" s="958"/>
      <c r="AE521" s="958"/>
      <c r="AF521" s="958"/>
      <c r="AG521" s="958"/>
      <c r="AH521" s="958"/>
      <c r="AI521" s="929"/>
      <c r="AJ521" s="850"/>
      <c r="AK521" s="929"/>
      <c r="AL521" s="929"/>
      <c r="AM521" s="949"/>
      <c r="AN521" s="848"/>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057" customFormat="1" ht="13.9" customHeight="1">
      <c r="A522" s="994"/>
      <c r="B522" s="1031"/>
      <c r="C522" s="1590"/>
      <c r="D522" s="1031"/>
      <c r="E522" s="1031"/>
      <c r="F522" s="1031"/>
      <c r="G522" s="1031"/>
      <c r="H522" s="1031"/>
      <c r="I522" s="1031"/>
      <c r="J522" s="1031"/>
      <c r="K522" s="1031"/>
      <c r="L522" s="1031"/>
      <c r="M522" s="1031"/>
      <c r="N522" s="1031"/>
      <c r="O522" s="1031"/>
      <c r="P522" s="1031"/>
      <c r="Q522" s="1031"/>
      <c r="R522" s="1031"/>
      <c r="S522" s="1031"/>
      <c r="T522" s="1031"/>
      <c r="U522" s="1031"/>
      <c r="V522" s="1031"/>
      <c r="W522" s="1031"/>
      <c r="X522" s="1031"/>
      <c r="Y522" s="1031"/>
      <c r="Z522" s="1031"/>
      <c r="AA522" s="1031"/>
      <c r="AB522" s="1031"/>
      <c r="AC522" s="1031"/>
      <c r="AD522" s="1031"/>
      <c r="AE522" s="1031"/>
      <c r="AF522" s="1031"/>
      <c r="AG522" s="1031"/>
      <c r="AH522" s="942"/>
      <c r="AI522" s="882" t="s">
        <v>1745</v>
      </c>
      <c r="AJ522" s="2980">
        <f>VLOOKUP($H$520,$AO$455:$AP$457,2,FALSE)</f>
        <v>0</v>
      </c>
      <c r="AK522" s="2982"/>
      <c r="AL522" s="928"/>
      <c r="AM522" s="925"/>
      <c r="AN522" s="848"/>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057" customFormat="1">
      <c r="A523" s="983"/>
      <c r="B523" s="958"/>
      <c r="C523" s="1572"/>
      <c r="D523" s="958"/>
      <c r="E523" s="958"/>
      <c r="F523" s="958"/>
      <c r="G523" s="958"/>
      <c r="H523" s="958"/>
      <c r="I523" s="958"/>
      <c r="J523" s="958"/>
      <c r="K523" s="958"/>
      <c r="L523" s="958"/>
      <c r="M523" s="958"/>
      <c r="N523" s="958"/>
      <c r="O523" s="958"/>
      <c r="P523" s="958"/>
      <c r="Q523" s="958"/>
      <c r="R523" s="958"/>
      <c r="S523" s="958"/>
      <c r="T523" s="958"/>
      <c r="U523" s="958"/>
      <c r="V523" s="958"/>
      <c r="W523" s="958"/>
      <c r="X523" s="958"/>
      <c r="Y523" s="958"/>
      <c r="Z523" s="958"/>
      <c r="AA523" s="958"/>
      <c r="AB523" s="958"/>
      <c r="AC523" s="958"/>
      <c r="AD523" s="958"/>
      <c r="AE523" s="958"/>
      <c r="AF523" s="958"/>
      <c r="AG523" s="958"/>
      <c r="AH523" s="946"/>
      <c r="AI523" s="1516"/>
      <c r="AJ523" s="928"/>
      <c r="AK523" s="928"/>
      <c r="AL523" s="928"/>
      <c r="AM523" s="925"/>
      <c r="AN523" s="848"/>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057" customFormat="1">
      <c r="A524" s="983"/>
      <c r="B524" s="958"/>
      <c r="C524" s="909" t="s">
        <v>1734</v>
      </c>
      <c r="D524" s="958"/>
      <c r="E524" s="958"/>
      <c r="F524" s="958"/>
      <c r="G524" s="958"/>
      <c r="H524" s="958"/>
      <c r="I524" s="958"/>
      <c r="J524" s="958"/>
      <c r="K524" s="958"/>
      <c r="L524" s="958"/>
      <c r="M524" s="958"/>
      <c r="N524" s="958"/>
      <c r="O524" s="958"/>
      <c r="P524" s="958"/>
      <c r="Q524" s="958"/>
      <c r="R524" s="958"/>
      <c r="S524" s="958"/>
      <c r="T524" s="958"/>
      <c r="U524" s="958"/>
      <c r="V524" s="958"/>
      <c r="W524" s="958"/>
      <c r="X524" s="958"/>
      <c r="Y524" s="958"/>
      <c r="Z524" s="958"/>
      <c r="AA524" s="958"/>
      <c r="AB524" s="958"/>
      <c r="AC524" s="958"/>
      <c r="AD524" s="958"/>
      <c r="AE524" s="958"/>
      <c r="AF524" s="958"/>
      <c r="AG524" s="958"/>
      <c r="AH524" s="946"/>
      <c r="AI524" s="1516"/>
      <c r="AJ524" s="928"/>
      <c r="AK524" s="928"/>
      <c r="AL524" s="928"/>
      <c r="AM524" s="925"/>
      <c r="AN524" s="848"/>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057" customFormat="1">
      <c r="A525" s="983"/>
      <c r="B525" s="958"/>
      <c r="C525" s="1572"/>
      <c r="D525" s="958"/>
      <c r="E525" s="958"/>
      <c r="F525" s="958"/>
      <c r="G525" s="958"/>
      <c r="H525" s="958"/>
      <c r="I525" s="958"/>
      <c r="J525" s="958"/>
      <c r="K525" s="958"/>
      <c r="L525" s="958"/>
      <c r="M525" s="958"/>
      <c r="N525" s="958"/>
      <c r="O525" s="958"/>
      <c r="P525" s="958"/>
      <c r="Q525" s="958"/>
      <c r="R525" s="958"/>
      <c r="S525" s="958"/>
      <c r="T525" s="958"/>
      <c r="U525" s="958"/>
      <c r="V525" s="958"/>
      <c r="W525" s="958"/>
      <c r="X525" s="958"/>
      <c r="Y525" s="958"/>
      <c r="Z525" s="958"/>
      <c r="AA525" s="958"/>
      <c r="AB525" s="958"/>
      <c r="AC525" s="958"/>
      <c r="AD525" s="958"/>
      <c r="AE525" s="958"/>
      <c r="AF525" s="958"/>
      <c r="AG525" s="958"/>
      <c r="AH525" s="946"/>
      <c r="AI525" s="1516"/>
      <c r="AJ525" s="928"/>
      <c r="AK525" s="928"/>
      <c r="AL525" s="928"/>
      <c r="AM525" s="925"/>
      <c r="AN525" s="1056"/>
    </row>
    <row r="526" spans="1:74" s="1057" customFormat="1" ht="13.9" customHeight="1">
      <c r="A526" s="983"/>
      <c r="B526" s="958"/>
      <c r="C526" s="1572"/>
      <c r="D526" s="1029" t="s">
        <v>727</v>
      </c>
      <c r="E526" s="2999" t="s">
        <v>2205</v>
      </c>
      <c r="F526" s="2999"/>
      <c r="G526" s="2999"/>
      <c r="H526" s="2999"/>
      <c r="I526" s="2999"/>
      <c r="J526" s="2999"/>
      <c r="K526" s="2999"/>
      <c r="L526" s="2999"/>
      <c r="M526" s="2999"/>
      <c r="N526" s="2999"/>
      <c r="O526" s="2999"/>
      <c r="P526" s="2999"/>
      <c r="Q526" s="2999"/>
      <c r="R526" s="2999"/>
      <c r="S526" s="2999"/>
      <c r="T526" s="2999"/>
      <c r="U526" s="2999"/>
      <c r="V526" s="2999"/>
      <c r="W526" s="2999"/>
      <c r="X526" s="2999"/>
      <c r="Y526" s="2999"/>
      <c r="Z526" s="2999"/>
      <c r="AA526" s="2999"/>
      <c r="AB526" s="2999"/>
      <c r="AC526" s="2999"/>
      <c r="AD526" s="2999"/>
      <c r="AE526" s="850"/>
      <c r="AF526" s="2941" t="s">
        <v>1702</v>
      </c>
      <c r="AG526" s="2941"/>
      <c r="AH526" s="2941"/>
      <c r="AI526" s="2941"/>
      <c r="AJ526" s="2941"/>
      <c r="AK526" s="2941"/>
      <c r="AL526" s="2941"/>
      <c r="AM526" s="954"/>
      <c r="AN526" s="1056"/>
    </row>
    <row r="527" spans="1:74" s="1057" customFormat="1" ht="13.9" customHeight="1">
      <c r="A527" s="983"/>
      <c r="B527" s="958"/>
      <c r="C527" s="1572"/>
      <c r="D527" s="1029"/>
      <c r="E527" s="2999"/>
      <c r="F527" s="2999"/>
      <c r="G527" s="2999"/>
      <c r="H527" s="2999"/>
      <c r="I527" s="2999"/>
      <c r="J527" s="2999"/>
      <c r="K527" s="2999"/>
      <c r="L527" s="2999"/>
      <c r="M527" s="2999"/>
      <c r="N527" s="2999"/>
      <c r="O527" s="2999"/>
      <c r="P527" s="2999"/>
      <c r="Q527" s="2999"/>
      <c r="R527" s="2999"/>
      <c r="S527" s="2999"/>
      <c r="T527" s="2999"/>
      <c r="U527" s="2999"/>
      <c r="V527" s="2999"/>
      <c r="W527" s="2999"/>
      <c r="X527" s="2999"/>
      <c r="Y527" s="2999"/>
      <c r="Z527" s="2999"/>
      <c r="AA527" s="2999"/>
      <c r="AB527" s="2999"/>
      <c r="AC527" s="2999"/>
      <c r="AD527" s="2999"/>
      <c r="AE527" s="850"/>
      <c r="AF527" s="1517"/>
      <c r="AG527" s="1517"/>
      <c r="AH527" s="1517"/>
      <c r="AI527" s="1517"/>
      <c r="AJ527" s="1517"/>
      <c r="AK527" s="1517"/>
      <c r="AL527" s="1517"/>
      <c r="AM527" s="954"/>
      <c r="AN527" s="1056"/>
    </row>
    <row r="528" spans="1:74" s="1057" customFormat="1">
      <c r="A528" s="983"/>
      <c r="B528" s="958"/>
      <c r="C528" s="1572"/>
      <c r="D528" s="1029"/>
      <c r="E528" s="2999"/>
      <c r="F528" s="2999"/>
      <c r="G528" s="2999"/>
      <c r="H528" s="2999"/>
      <c r="I528" s="2999"/>
      <c r="J528" s="2999"/>
      <c r="K528" s="2999"/>
      <c r="L528" s="2999"/>
      <c r="M528" s="2999"/>
      <c r="N528" s="2999"/>
      <c r="O528" s="2999"/>
      <c r="P528" s="2999"/>
      <c r="Q528" s="2999"/>
      <c r="R528" s="2999"/>
      <c r="S528" s="2999"/>
      <c r="T528" s="2999"/>
      <c r="U528" s="2999"/>
      <c r="V528" s="2999"/>
      <c r="W528" s="2999"/>
      <c r="X528" s="2999"/>
      <c r="Y528" s="2999"/>
      <c r="Z528" s="2999"/>
      <c r="AA528" s="2999"/>
      <c r="AB528" s="2999"/>
      <c r="AC528" s="2999"/>
      <c r="AD528" s="2999"/>
      <c r="AE528" s="850"/>
      <c r="AF528" s="850"/>
      <c r="AG528" s="850"/>
      <c r="AH528" s="850"/>
      <c r="AI528" s="850"/>
      <c r="AJ528" s="850"/>
      <c r="AK528" s="850"/>
      <c r="AL528" s="1517"/>
      <c r="AM528" s="954"/>
      <c r="AN528" s="848"/>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057" customFormat="1" ht="18.600000000000001" customHeight="1">
      <c r="A529" s="983"/>
      <c r="B529" s="958"/>
      <c r="C529" s="1572"/>
      <c r="D529" s="1029"/>
      <c r="E529" s="2999"/>
      <c r="F529" s="2999"/>
      <c r="G529" s="2999"/>
      <c r="H529" s="2999"/>
      <c r="I529" s="2999"/>
      <c r="J529" s="2999"/>
      <c r="K529" s="2999"/>
      <c r="L529" s="2999"/>
      <c r="M529" s="2999"/>
      <c r="N529" s="2999"/>
      <c r="O529" s="2999"/>
      <c r="P529" s="2999"/>
      <c r="Q529" s="2999"/>
      <c r="R529" s="2999"/>
      <c r="S529" s="2999"/>
      <c r="T529" s="2999"/>
      <c r="U529" s="2999"/>
      <c r="V529" s="2999"/>
      <c r="W529" s="2999"/>
      <c r="X529" s="2999"/>
      <c r="Y529" s="2999"/>
      <c r="Z529" s="2999"/>
      <c r="AA529" s="2999"/>
      <c r="AB529" s="2999"/>
      <c r="AC529" s="2999"/>
      <c r="AD529" s="2999"/>
      <c r="AE529" s="1517"/>
      <c r="AF529" s="1517"/>
      <c r="AG529" s="1517"/>
      <c r="AH529" s="1517"/>
      <c r="AI529" s="1517"/>
      <c r="AJ529" s="1517"/>
      <c r="AK529" s="1517"/>
      <c r="AL529" s="1517"/>
      <c r="AM529" s="954"/>
      <c r="AN529" s="848"/>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866" customFormat="1" ht="12.75" customHeight="1">
      <c r="A530" s="983"/>
      <c r="B530" s="958"/>
      <c r="C530" s="1572"/>
      <c r="D530" s="1029"/>
      <c r="E530" s="1514"/>
      <c r="F530" s="1514"/>
      <c r="G530" s="1514"/>
      <c r="H530" s="1514"/>
      <c r="I530" s="1514"/>
      <c r="J530" s="1514"/>
      <c r="K530" s="1514"/>
      <c r="L530" s="1514"/>
      <c r="M530" s="1514"/>
      <c r="N530" s="1514"/>
      <c r="O530" s="1514"/>
      <c r="P530" s="1514"/>
      <c r="Q530" s="1514"/>
      <c r="R530" s="1514"/>
      <c r="S530" s="1514"/>
      <c r="T530" s="1514"/>
      <c r="U530" s="1514"/>
      <c r="V530" s="1514"/>
      <c r="W530" s="1514"/>
      <c r="X530" s="1514"/>
      <c r="Y530" s="1514"/>
      <c r="Z530" s="1514"/>
      <c r="AA530" s="1514"/>
      <c r="AB530" s="1514"/>
      <c r="AC530" s="1514"/>
      <c r="AD530" s="1514"/>
      <c r="AE530" s="1517"/>
      <c r="AF530" s="850"/>
      <c r="AG530" s="850"/>
      <c r="AH530" s="850"/>
      <c r="AI530" s="850"/>
      <c r="AJ530" s="850"/>
      <c r="AK530" s="850"/>
      <c r="AL530" s="850"/>
      <c r="AM530" s="954"/>
      <c r="AN530" s="923"/>
    </row>
    <row r="531" spans="1:81" s="866" customFormat="1" ht="12.75" customHeight="1">
      <c r="A531" s="983"/>
      <c r="B531" s="958"/>
      <c r="C531" s="1572"/>
      <c r="D531" s="1029" t="s">
        <v>544</v>
      </c>
      <c r="E531" s="3025" t="s">
        <v>2214</v>
      </c>
      <c r="F531" s="3025"/>
      <c r="G531" s="3025"/>
      <c r="H531" s="3025"/>
      <c r="I531" s="3025"/>
      <c r="J531" s="3025"/>
      <c r="K531" s="3025"/>
      <c r="L531" s="3025"/>
      <c r="M531" s="3025"/>
      <c r="N531" s="3025"/>
      <c r="O531" s="3025"/>
      <c r="P531" s="3025"/>
      <c r="Q531" s="3025"/>
      <c r="R531" s="3025"/>
      <c r="S531" s="3025"/>
      <c r="T531" s="3025"/>
      <c r="U531" s="3025"/>
      <c r="V531" s="3025"/>
      <c r="W531" s="3025"/>
      <c r="X531" s="3025"/>
      <c r="Y531" s="3025"/>
      <c r="Z531" s="3025"/>
      <c r="AA531" s="3025"/>
      <c r="AB531" s="3025"/>
      <c r="AC531" s="3025"/>
      <c r="AD531" s="3025"/>
      <c r="AE531" s="850"/>
      <c r="AF531" s="2941" t="s">
        <v>1638</v>
      </c>
      <c r="AG531" s="2941"/>
      <c r="AH531" s="2941"/>
      <c r="AI531" s="2941"/>
      <c r="AJ531" s="2941"/>
      <c r="AK531" s="2941"/>
      <c r="AL531" s="2941"/>
      <c r="AM531" s="954"/>
      <c r="AN531" s="923"/>
    </row>
    <row r="532" spans="1:81" s="866" customFormat="1" ht="12.75" customHeight="1">
      <c r="A532" s="983"/>
      <c r="B532" s="958"/>
      <c r="C532" s="1572"/>
      <c r="D532" s="1029"/>
      <c r="E532" s="3025"/>
      <c r="F532" s="3025"/>
      <c r="G532" s="3025"/>
      <c r="H532" s="3025"/>
      <c r="I532" s="3025"/>
      <c r="J532" s="3025"/>
      <c r="K532" s="3025"/>
      <c r="L532" s="3025"/>
      <c r="M532" s="3025"/>
      <c r="N532" s="3025"/>
      <c r="O532" s="3025"/>
      <c r="P532" s="3025"/>
      <c r="Q532" s="3025"/>
      <c r="R532" s="3025"/>
      <c r="S532" s="3025"/>
      <c r="T532" s="3025"/>
      <c r="U532" s="3025"/>
      <c r="V532" s="3025"/>
      <c r="W532" s="3025"/>
      <c r="X532" s="3025"/>
      <c r="Y532" s="3025"/>
      <c r="Z532" s="3025"/>
      <c r="AA532" s="3025"/>
      <c r="AB532" s="3025"/>
      <c r="AC532" s="3025"/>
      <c r="AD532" s="3025"/>
      <c r="AE532" s="1517"/>
      <c r="AF532" s="1517"/>
      <c r="AG532" s="1517"/>
      <c r="AH532" s="1517"/>
      <c r="AI532" s="1517"/>
      <c r="AJ532" s="1517"/>
      <c r="AK532" s="1517"/>
      <c r="AL532" s="1517"/>
      <c r="AM532" s="954"/>
      <c r="AN532" s="923"/>
    </row>
    <row r="533" spans="1:81" s="866" customFormat="1" ht="12.75" customHeight="1">
      <c r="A533" s="983"/>
      <c r="B533" s="958"/>
      <c r="C533" s="1572"/>
      <c r="D533" s="1029"/>
      <c r="E533" s="3025"/>
      <c r="F533" s="3025"/>
      <c r="G533" s="3025"/>
      <c r="H533" s="3025"/>
      <c r="I533" s="3025"/>
      <c r="J533" s="3025"/>
      <c r="K533" s="3025"/>
      <c r="L533" s="3025"/>
      <c r="M533" s="3025"/>
      <c r="N533" s="3025"/>
      <c r="O533" s="3025"/>
      <c r="P533" s="3025"/>
      <c r="Q533" s="3025"/>
      <c r="R533" s="3025"/>
      <c r="S533" s="3025"/>
      <c r="T533" s="3025"/>
      <c r="U533" s="3025"/>
      <c r="V533" s="3025"/>
      <c r="W533" s="3025"/>
      <c r="X533" s="3025"/>
      <c r="Y533" s="3025"/>
      <c r="Z533" s="3025"/>
      <c r="AA533" s="3025"/>
      <c r="AB533" s="3025"/>
      <c r="AC533" s="3025"/>
      <c r="AD533" s="3025"/>
      <c r="AE533" s="1517"/>
      <c r="AF533" s="1517"/>
      <c r="AG533" s="1517"/>
      <c r="AH533" s="1517"/>
      <c r="AI533" s="1517"/>
      <c r="AJ533" s="1517"/>
      <c r="AK533" s="1517"/>
      <c r="AL533" s="1517"/>
      <c r="AM533" s="954"/>
      <c r="AN533" s="923"/>
    </row>
    <row r="534" spans="1:81" s="866" customFormat="1" ht="12.75" customHeight="1">
      <c r="A534" s="983"/>
      <c r="B534" s="958"/>
      <c r="C534" s="1572"/>
      <c r="D534" s="1029"/>
      <c r="E534" s="3025"/>
      <c r="F534" s="3025"/>
      <c r="G534" s="3025"/>
      <c r="H534" s="3025"/>
      <c r="I534" s="3025"/>
      <c r="J534" s="3025"/>
      <c r="K534" s="3025"/>
      <c r="L534" s="3025"/>
      <c r="M534" s="3025"/>
      <c r="N534" s="3025"/>
      <c r="O534" s="3025"/>
      <c r="P534" s="3025"/>
      <c r="Q534" s="3025"/>
      <c r="R534" s="3025"/>
      <c r="S534" s="3025"/>
      <c r="T534" s="3025"/>
      <c r="U534" s="3025"/>
      <c r="V534" s="3025"/>
      <c r="W534" s="3025"/>
      <c r="X534" s="3025"/>
      <c r="Y534" s="3025"/>
      <c r="Z534" s="3025"/>
      <c r="AA534" s="3025"/>
      <c r="AB534" s="3025"/>
      <c r="AC534" s="3025"/>
      <c r="AD534" s="3025"/>
      <c r="AE534" s="1517"/>
      <c r="AF534" s="1517"/>
      <c r="AG534" s="1517"/>
      <c r="AH534" s="1517"/>
      <c r="AI534" s="1517"/>
      <c r="AJ534" s="1517"/>
      <c r="AK534" s="1517"/>
      <c r="AL534" s="1517"/>
      <c r="AM534" s="954"/>
      <c r="AN534" s="923"/>
    </row>
    <row r="535" spans="1:81" s="866" customFormat="1" ht="12.75" customHeight="1">
      <c r="A535" s="1057"/>
      <c r="B535" s="850"/>
      <c r="C535" s="850"/>
      <c r="D535" s="850"/>
      <c r="E535" s="850"/>
      <c r="F535" s="850"/>
      <c r="G535" s="850"/>
      <c r="H535" s="850"/>
      <c r="I535" s="850"/>
      <c r="J535" s="850"/>
      <c r="K535" s="850"/>
      <c r="L535" s="850"/>
      <c r="M535" s="850"/>
      <c r="N535" s="850"/>
      <c r="O535" s="850"/>
      <c r="P535" s="850"/>
      <c r="Q535" s="850"/>
      <c r="R535" s="850"/>
      <c r="S535" s="850"/>
      <c r="T535" s="850"/>
      <c r="U535" s="850"/>
      <c r="V535" s="850"/>
      <c r="W535" s="850"/>
      <c r="X535" s="850"/>
      <c r="Y535" s="850"/>
      <c r="Z535" s="850"/>
      <c r="AA535" s="850"/>
      <c r="AB535" s="850"/>
      <c r="AC535" s="850"/>
      <c r="AD535" s="850"/>
      <c r="AE535" s="850"/>
      <c r="AF535" s="850"/>
      <c r="AG535" s="850"/>
      <c r="AH535" s="850"/>
      <c r="AI535" s="850"/>
      <c r="AJ535" s="850"/>
      <c r="AK535" s="850"/>
      <c r="AL535" s="850"/>
      <c r="AM535" s="1057"/>
      <c r="AN535" s="923"/>
    </row>
    <row r="536" spans="1:81" s="866" customFormat="1" ht="12.75" customHeight="1">
      <c r="A536" s="983"/>
      <c r="B536" s="958"/>
      <c r="C536" s="1572"/>
      <c r="D536" s="946" t="s">
        <v>1694</v>
      </c>
      <c r="E536" s="1566"/>
      <c r="F536" s="1566"/>
      <c r="G536" s="1566"/>
      <c r="H536" s="3018" t="s">
        <v>544</v>
      </c>
      <c r="I536" s="3018"/>
      <c r="J536" s="1518"/>
      <c r="K536" s="1518"/>
      <c r="L536" s="1518"/>
      <c r="M536" s="1518"/>
      <c r="N536" s="1518"/>
      <c r="O536" s="1518"/>
      <c r="P536" s="1518"/>
      <c r="Q536" s="1518"/>
      <c r="R536" s="1518"/>
      <c r="S536" s="1518"/>
      <c r="T536" s="1518"/>
      <c r="U536" s="1518"/>
      <c r="V536" s="1518"/>
      <c r="W536" s="1518"/>
      <c r="X536" s="1518"/>
      <c r="Y536" s="1518"/>
      <c r="Z536" s="1518"/>
      <c r="AA536" s="1518"/>
      <c r="AB536" s="1518"/>
      <c r="AC536" s="1518"/>
      <c r="AD536" s="1518"/>
      <c r="AE536" s="1518"/>
      <c r="AF536" s="1518"/>
      <c r="AG536" s="958"/>
      <c r="AH536" s="946"/>
      <c r="AI536" s="1516"/>
      <c r="AJ536" s="928"/>
      <c r="AK536" s="928"/>
      <c r="AL536" s="928"/>
      <c r="AM536" s="925"/>
      <c r="AN536" s="923"/>
    </row>
    <row r="537" spans="1:81" s="866" customFormat="1" ht="12.75" customHeight="1">
      <c r="A537" s="983"/>
      <c r="B537" s="958"/>
      <c r="C537" s="1572"/>
      <c r="D537" s="958"/>
      <c r="E537" s="958"/>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c r="AD537" s="958"/>
      <c r="AE537" s="958"/>
      <c r="AF537" s="958"/>
      <c r="AG537" s="958"/>
      <c r="AH537" s="946"/>
      <c r="AI537" s="1516"/>
      <c r="AJ537" s="928"/>
      <c r="AK537" s="928"/>
      <c r="AL537" s="928"/>
      <c r="AM537" s="925"/>
      <c r="AN537" s="923"/>
    </row>
    <row r="538" spans="1:81" s="866" customFormat="1" ht="12.75" customHeight="1">
      <c r="A538" s="994"/>
      <c r="B538" s="1031"/>
      <c r="C538" s="1590"/>
      <c r="D538" s="1031"/>
      <c r="E538" s="1031"/>
      <c r="F538" s="1031"/>
      <c r="G538" s="1031"/>
      <c r="H538" s="1031"/>
      <c r="I538" s="1031"/>
      <c r="J538" s="1031"/>
      <c r="K538" s="1031"/>
      <c r="L538" s="1031"/>
      <c r="M538" s="1031"/>
      <c r="N538" s="1031"/>
      <c r="O538" s="1031"/>
      <c r="P538" s="1031"/>
      <c r="Q538" s="1031"/>
      <c r="R538" s="1031"/>
      <c r="S538" s="1031"/>
      <c r="T538" s="1031"/>
      <c r="U538" s="1031"/>
      <c r="V538" s="1031"/>
      <c r="W538" s="1031"/>
      <c r="X538" s="1031"/>
      <c r="Y538" s="1031"/>
      <c r="Z538" s="1031"/>
      <c r="AA538" s="1031"/>
      <c r="AB538" s="1031"/>
      <c r="AC538" s="1031"/>
      <c r="AD538" s="1031"/>
      <c r="AE538" s="1031"/>
      <c r="AF538" s="1031"/>
      <c r="AG538" s="1031"/>
      <c r="AH538" s="942"/>
      <c r="AI538" s="882" t="s">
        <v>1746</v>
      </c>
      <c r="AJ538" s="2980">
        <f>VLOOKUP($H$536,$AP$477:$AQ$479,2,FALSE)</f>
        <v>3</v>
      </c>
      <c r="AK538" s="2982"/>
      <c r="AL538" s="928"/>
      <c r="AM538" s="925"/>
      <c r="AN538" s="923"/>
    </row>
    <row r="539" spans="1:81" s="1057" customFormat="1">
      <c r="A539" s="983"/>
      <c r="B539" s="958"/>
      <c r="C539" s="1572"/>
      <c r="D539" s="958"/>
      <c r="E539" s="958"/>
      <c r="F539" s="958"/>
      <c r="G539" s="958"/>
      <c r="H539" s="958"/>
      <c r="I539" s="958"/>
      <c r="J539" s="958"/>
      <c r="K539" s="958"/>
      <c r="L539" s="958"/>
      <c r="M539" s="958"/>
      <c r="N539" s="958"/>
      <c r="O539" s="958"/>
      <c r="P539" s="958"/>
      <c r="Q539" s="958"/>
      <c r="R539" s="958"/>
      <c r="S539" s="958"/>
      <c r="T539" s="958"/>
      <c r="U539" s="958"/>
      <c r="V539" s="958"/>
      <c r="W539" s="958"/>
      <c r="X539" s="958"/>
      <c r="Y539" s="958"/>
      <c r="Z539" s="958"/>
      <c r="AA539" s="958"/>
      <c r="AB539" s="958"/>
      <c r="AC539" s="958"/>
      <c r="AD539" s="958"/>
      <c r="AE539" s="958"/>
      <c r="AF539" s="958"/>
      <c r="AG539" s="958"/>
      <c r="AH539" s="946"/>
      <c r="AI539" s="1516"/>
      <c r="AJ539" s="928"/>
      <c r="AK539" s="928"/>
      <c r="AL539" s="928"/>
      <c r="AM539" s="925"/>
      <c r="AN539" s="1056"/>
      <c r="AS539" s="1066"/>
      <c r="AT539" s="1066"/>
      <c r="AU539" s="1066"/>
      <c r="AV539" s="1066"/>
      <c r="AW539" s="1066"/>
      <c r="AX539" s="1066"/>
      <c r="AY539" s="1066"/>
      <c r="AZ539" s="1066"/>
      <c r="BA539" s="1066"/>
      <c r="BB539" s="1066"/>
      <c r="BC539" s="1066"/>
      <c r="BD539" s="1067"/>
      <c r="BE539" s="1067"/>
      <c r="BF539" s="1067"/>
      <c r="BG539" s="1067"/>
      <c r="BH539" s="1067"/>
      <c r="BI539" s="1066"/>
      <c r="BJ539" s="1066"/>
      <c r="BK539" s="1066"/>
      <c r="BL539" s="1066"/>
      <c r="BM539" s="1066"/>
      <c r="BN539" s="1066"/>
      <c r="BO539" s="1066"/>
      <c r="BP539" s="1066"/>
      <c r="BQ539" s="1066"/>
      <c r="BR539" s="1066"/>
      <c r="BS539" s="1066"/>
      <c r="BT539" s="1066"/>
      <c r="BU539" s="1066"/>
      <c r="BV539" s="1066"/>
      <c r="BW539" s="1066"/>
      <c r="BX539" s="1066"/>
      <c r="BY539" s="1066"/>
      <c r="BZ539" s="1066"/>
      <c r="CA539" s="1066"/>
      <c r="CB539" s="1066"/>
      <c r="CC539" s="1066"/>
    </row>
    <row r="540" spans="1:81" s="1057" customFormat="1">
      <c r="A540" s="983"/>
      <c r="B540" s="958"/>
      <c r="C540" s="909" t="s">
        <v>1747</v>
      </c>
      <c r="D540" s="958"/>
      <c r="E540" s="958"/>
      <c r="F540" s="958"/>
      <c r="G540" s="958"/>
      <c r="H540" s="958"/>
      <c r="I540" s="958"/>
      <c r="J540" s="958"/>
      <c r="K540" s="958"/>
      <c r="L540" s="958"/>
      <c r="M540" s="958"/>
      <c r="N540" s="958"/>
      <c r="O540" s="958"/>
      <c r="P540" s="958"/>
      <c r="Q540" s="958"/>
      <c r="R540" s="958"/>
      <c r="S540" s="958"/>
      <c r="T540" s="958"/>
      <c r="U540" s="958"/>
      <c r="V540" s="958"/>
      <c r="W540" s="958"/>
      <c r="X540" s="958"/>
      <c r="Y540" s="958"/>
      <c r="Z540" s="958"/>
      <c r="AA540" s="958"/>
      <c r="AB540" s="958"/>
      <c r="AC540" s="958"/>
      <c r="AD540" s="958"/>
      <c r="AE540" s="958"/>
      <c r="AF540" s="958"/>
      <c r="AG540" s="958"/>
      <c r="AH540" s="946"/>
      <c r="AI540" s="1516"/>
      <c r="AJ540" s="928"/>
      <c r="AK540" s="928"/>
      <c r="AL540" s="928"/>
      <c r="AM540" s="925"/>
      <c r="AN540" s="1056"/>
      <c r="AO540" s="1058"/>
      <c r="AT540" s="1066"/>
      <c r="AU540" s="1066"/>
      <c r="AV540" s="1066"/>
      <c r="AW540" s="1066"/>
      <c r="AX540" s="1066"/>
      <c r="AY540" s="1066"/>
      <c r="AZ540" s="1066"/>
    </row>
    <row r="541" spans="1:81" s="1057" customFormat="1">
      <c r="A541" s="983"/>
      <c r="B541" s="958"/>
      <c r="C541" s="1572"/>
      <c r="D541" s="958"/>
      <c r="E541" s="958"/>
      <c r="F541" s="958"/>
      <c r="G541" s="958"/>
      <c r="H541" s="958"/>
      <c r="I541" s="958"/>
      <c r="J541" s="958"/>
      <c r="K541" s="958"/>
      <c r="L541" s="958"/>
      <c r="M541" s="958"/>
      <c r="N541" s="958"/>
      <c r="O541" s="958"/>
      <c r="P541" s="958"/>
      <c r="Q541" s="958"/>
      <c r="R541" s="958"/>
      <c r="S541" s="958"/>
      <c r="T541" s="958"/>
      <c r="U541" s="958"/>
      <c r="V541" s="958"/>
      <c r="W541" s="958"/>
      <c r="X541" s="958"/>
      <c r="Y541" s="958"/>
      <c r="Z541" s="958"/>
      <c r="AA541" s="958"/>
      <c r="AB541" s="958"/>
      <c r="AC541" s="958"/>
      <c r="AD541" s="958"/>
      <c r="AE541" s="850"/>
      <c r="AF541" s="850"/>
      <c r="AG541" s="850"/>
      <c r="AH541" s="850"/>
      <c r="AI541" s="850"/>
      <c r="AJ541" s="850"/>
      <c r="AK541" s="850"/>
      <c r="AL541" s="928"/>
      <c r="AM541" s="925"/>
      <c r="AN541" s="1056"/>
      <c r="AO541" s="866" t="s">
        <v>628</v>
      </c>
      <c r="AP541" s="1068">
        <v>0</v>
      </c>
      <c r="AS541" s="1066"/>
      <c r="AT541" s="1066"/>
      <c r="AU541" s="1066"/>
      <c r="AV541" s="1066"/>
      <c r="AW541" s="1066"/>
      <c r="AX541" s="1066"/>
      <c r="AY541" s="1066"/>
      <c r="AZ541" s="1066"/>
      <c r="BA541" s="1066"/>
      <c r="BB541" s="1066"/>
      <c r="BC541" s="1066"/>
      <c r="BD541" s="1067"/>
      <c r="BE541" s="1067"/>
      <c r="BF541" s="1067"/>
      <c r="BG541" s="1067"/>
      <c r="BH541" s="1067"/>
      <c r="BI541" s="1066"/>
      <c r="BJ541" s="1066"/>
      <c r="BK541" s="1066"/>
      <c r="BL541" s="1066"/>
      <c r="BM541" s="1066"/>
      <c r="BN541" s="1066"/>
      <c r="BO541" s="1066"/>
      <c r="BP541" s="1066"/>
      <c r="BQ541" s="1066"/>
      <c r="BR541" s="1066"/>
      <c r="BS541" s="1066"/>
      <c r="BT541" s="1066"/>
      <c r="BU541" s="1066"/>
      <c r="BV541" s="1066"/>
      <c r="BW541" s="1066"/>
      <c r="BX541" s="1066"/>
      <c r="BY541" s="1066"/>
      <c r="BZ541" s="1066"/>
      <c r="CA541" s="1066"/>
      <c r="CB541" s="1066"/>
      <c r="CC541" s="1066"/>
    </row>
    <row r="542" spans="1:81" s="1057" customFormat="1" ht="13.9" customHeight="1">
      <c r="A542" s="983"/>
      <c r="B542" s="958"/>
      <c r="C542" s="1572"/>
      <c r="D542" s="1029" t="s">
        <v>727</v>
      </c>
      <c r="E542" s="2999" t="s">
        <v>2204</v>
      </c>
      <c r="F542" s="2999"/>
      <c r="G542" s="2999"/>
      <c r="H542" s="2999"/>
      <c r="I542" s="2999"/>
      <c r="J542" s="2999"/>
      <c r="K542" s="2999"/>
      <c r="L542" s="2999"/>
      <c r="M542" s="2999"/>
      <c r="N542" s="2999"/>
      <c r="O542" s="2999"/>
      <c r="P542" s="2999"/>
      <c r="Q542" s="2999"/>
      <c r="R542" s="2999"/>
      <c r="S542" s="2999"/>
      <c r="T542" s="2999"/>
      <c r="U542" s="2999"/>
      <c r="V542" s="2999"/>
      <c r="W542" s="2999"/>
      <c r="X542" s="2999"/>
      <c r="Y542" s="2999"/>
      <c r="Z542" s="2999"/>
      <c r="AA542" s="2999"/>
      <c r="AB542" s="2999"/>
      <c r="AC542" s="2999"/>
      <c r="AD542" s="2999"/>
      <c r="AE542" s="850"/>
      <c r="AF542" s="2941" t="s">
        <v>1748</v>
      </c>
      <c r="AG542" s="2941"/>
      <c r="AH542" s="2941"/>
      <c r="AI542" s="2941"/>
      <c r="AJ542" s="2941"/>
      <c r="AK542" s="2941"/>
      <c r="AL542" s="2941"/>
      <c r="AM542" s="954"/>
      <c r="AN542" s="1056"/>
      <c r="AO542" s="1041" t="s">
        <v>580</v>
      </c>
      <c r="AP542" s="866">
        <v>8</v>
      </c>
      <c r="AT542" s="1066"/>
      <c r="AU542" s="1066"/>
      <c r="AV542" s="1066"/>
      <c r="AW542" s="1066"/>
      <c r="AX542" s="1066"/>
      <c r="AY542" s="1066"/>
      <c r="AZ542" s="1066"/>
    </row>
    <row r="543" spans="1:81" s="1057" customFormat="1" ht="13.9" customHeight="1">
      <c r="A543" s="983"/>
      <c r="B543" s="958"/>
      <c r="C543" s="1572"/>
      <c r="D543" s="1029"/>
      <c r="E543" s="2999"/>
      <c r="F543" s="2999"/>
      <c r="G543" s="2999"/>
      <c r="H543" s="2999"/>
      <c r="I543" s="2999"/>
      <c r="J543" s="2999"/>
      <c r="K543" s="2999"/>
      <c r="L543" s="2999"/>
      <c r="M543" s="2999"/>
      <c r="N543" s="2999"/>
      <c r="O543" s="2999"/>
      <c r="P543" s="2999"/>
      <c r="Q543" s="2999"/>
      <c r="R543" s="2999"/>
      <c r="S543" s="2999"/>
      <c r="T543" s="2999"/>
      <c r="U543" s="2999"/>
      <c r="V543" s="2999"/>
      <c r="W543" s="2999"/>
      <c r="X543" s="2999"/>
      <c r="Y543" s="2999"/>
      <c r="Z543" s="2999"/>
      <c r="AA543" s="2999"/>
      <c r="AB543" s="2999"/>
      <c r="AC543" s="2999"/>
      <c r="AD543" s="2999"/>
      <c r="AE543" s="850"/>
      <c r="AF543" s="1517"/>
      <c r="AG543" s="1517"/>
      <c r="AH543" s="1517"/>
      <c r="AI543" s="1517"/>
      <c r="AJ543" s="1517"/>
      <c r="AK543" s="1517"/>
      <c r="AL543" s="1517"/>
      <c r="AM543" s="954"/>
      <c r="AN543" s="1056"/>
      <c r="AO543" s="1041"/>
      <c r="AP543" s="866"/>
      <c r="AT543" s="1066"/>
      <c r="AU543" s="1066"/>
      <c r="AV543" s="1066"/>
      <c r="AW543" s="1066"/>
      <c r="AX543" s="1066"/>
      <c r="AY543" s="1066"/>
      <c r="AZ543" s="1066"/>
    </row>
    <row r="544" spans="1:81" s="1057" customFormat="1">
      <c r="A544" s="983"/>
      <c r="B544" s="958"/>
      <c r="C544" s="1572"/>
      <c r="D544" s="1029"/>
      <c r="E544" s="2999"/>
      <c r="F544" s="2999"/>
      <c r="G544" s="2999"/>
      <c r="H544" s="2999"/>
      <c r="I544" s="2999"/>
      <c r="J544" s="2999"/>
      <c r="K544" s="2999"/>
      <c r="L544" s="2999"/>
      <c r="M544" s="2999"/>
      <c r="N544" s="2999"/>
      <c r="O544" s="2999"/>
      <c r="P544" s="2999"/>
      <c r="Q544" s="2999"/>
      <c r="R544" s="2999"/>
      <c r="S544" s="2999"/>
      <c r="T544" s="2999"/>
      <c r="U544" s="2999"/>
      <c r="V544" s="2999"/>
      <c r="W544" s="2999"/>
      <c r="X544" s="2999"/>
      <c r="Y544" s="2999"/>
      <c r="Z544" s="2999"/>
      <c r="AA544" s="2999"/>
      <c r="AB544" s="2999"/>
      <c r="AC544" s="2999"/>
      <c r="AD544" s="2999"/>
      <c r="AE544" s="1517"/>
      <c r="AF544" s="1517"/>
      <c r="AG544" s="1517"/>
      <c r="AH544" s="1517"/>
      <c r="AI544" s="1517"/>
      <c r="AJ544" s="1517"/>
      <c r="AK544" s="1517"/>
      <c r="AL544" s="1517"/>
      <c r="AM544" s="954"/>
      <c r="AN544" s="1056"/>
      <c r="AO544" s="1041"/>
      <c r="AP544" s="866"/>
      <c r="AT544" s="1066"/>
      <c r="AU544" s="1066"/>
      <c r="AV544" s="1066"/>
      <c r="AW544" s="1066"/>
      <c r="AX544" s="1066"/>
      <c r="AY544" s="1066"/>
      <c r="AZ544" s="1066"/>
    </row>
    <row r="545" spans="1:81" s="1057" customFormat="1">
      <c r="A545" s="983"/>
      <c r="B545" s="958"/>
      <c r="C545" s="1572"/>
      <c r="D545" s="1029"/>
      <c r="E545" s="2999"/>
      <c r="F545" s="2999"/>
      <c r="G545" s="2999"/>
      <c r="H545" s="2999"/>
      <c r="I545" s="2999"/>
      <c r="J545" s="2999"/>
      <c r="K545" s="2999"/>
      <c r="L545" s="2999"/>
      <c r="M545" s="2999"/>
      <c r="N545" s="2999"/>
      <c r="O545" s="2999"/>
      <c r="P545" s="2999"/>
      <c r="Q545" s="2999"/>
      <c r="R545" s="2999"/>
      <c r="S545" s="2999"/>
      <c r="T545" s="2999"/>
      <c r="U545" s="2999"/>
      <c r="V545" s="2999"/>
      <c r="W545" s="2999"/>
      <c r="X545" s="2999"/>
      <c r="Y545" s="2999"/>
      <c r="Z545" s="2999"/>
      <c r="AA545" s="2999"/>
      <c r="AB545" s="2999"/>
      <c r="AC545" s="2999"/>
      <c r="AD545" s="2999"/>
      <c r="AE545" s="1517"/>
      <c r="AF545" s="1517"/>
      <c r="AG545" s="1517"/>
      <c r="AH545" s="1517"/>
      <c r="AI545" s="1517"/>
      <c r="AJ545" s="1517"/>
      <c r="AK545" s="1517"/>
      <c r="AL545" s="1517"/>
      <c r="AM545" s="954"/>
      <c r="AN545" s="1056"/>
      <c r="AO545" s="1069"/>
      <c r="AT545" s="1066"/>
      <c r="AU545" s="1066"/>
      <c r="AV545" s="1066"/>
      <c r="AW545" s="1066"/>
      <c r="AX545" s="1066"/>
      <c r="AY545" s="1066"/>
      <c r="AZ545" s="1066"/>
    </row>
    <row r="546" spans="1:81" s="1057" customFormat="1">
      <c r="A546" s="983"/>
      <c r="B546" s="958"/>
      <c r="C546" s="1572"/>
      <c r="D546" s="1029"/>
      <c r="E546" s="1518"/>
      <c r="F546" s="1518"/>
      <c r="G546" s="1518"/>
      <c r="H546" s="1518"/>
      <c r="I546" s="1518"/>
      <c r="J546" s="1518"/>
      <c r="K546" s="1518"/>
      <c r="L546" s="1518"/>
      <c r="M546" s="1518"/>
      <c r="N546" s="1518"/>
      <c r="O546" s="1518"/>
      <c r="P546" s="1518"/>
      <c r="Q546" s="1518"/>
      <c r="R546" s="1518"/>
      <c r="S546" s="1518"/>
      <c r="T546" s="1518"/>
      <c r="U546" s="1518"/>
      <c r="V546" s="1518"/>
      <c r="W546" s="1518"/>
      <c r="X546" s="1518"/>
      <c r="Y546" s="1518"/>
      <c r="Z546" s="1518"/>
      <c r="AA546" s="1518"/>
      <c r="AB546" s="1518"/>
      <c r="AC546" s="1518"/>
      <c r="AD546" s="1518"/>
      <c r="AE546" s="1517"/>
      <c r="AF546" s="1517"/>
      <c r="AG546" s="1517"/>
      <c r="AH546" s="1517"/>
      <c r="AI546" s="1517"/>
      <c r="AJ546" s="1517"/>
      <c r="AK546" s="1517"/>
      <c r="AL546" s="1517"/>
      <c r="AM546" s="954"/>
      <c r="AN546" s="1056"/>
      <c r="AO546" s="1069"/>
      <c r="AT546" s="1066"/>
      <c r="AU546" s="1066"/>
      <c r="AV546" s="1066"/>
      <c r="AW546" s="1066"/>
      <c r="AX546" s="1066"/>
      <c r="AY546" s="1066"/>
      <c r="AZ546" s="1066"/>
    </row>
    <row r="547" spans="1:81" s="1057" customFormat="1">
      <c r="A547" s="983"/>
      <c r="B547" s="958"/>
      <c r="C547" s="1572"/>
      <c r="D547" s="946" t="s">
        <v>1694</v>
      </c>
      <c r="E547" s="1566"/>
      <c r="F547" s="1566"/>
      <c r="G547" s="1566"/>
      <c r="H547" s="3018" t="s">
        <v>628</v>
      </c>
      <c r="I547" s="3018"/>
      <c r="J547" s="958"/>
      <c r="K547" s="958"/>
      <c r="L547" s="958"/>
      <c r="M547" s="958"/>
      <c r="N547" s="958"/>
      <c r="O547" s="958"/>
      <c r="P547" s="958"/>
      <c r="Q547" s="958"/>
      <c r="R547" s="958"/>
      <c r="S547" s="958"/>
      <c r="T547" s="958"/>
      <c r="U547" s="958"/>
      <c r="V547" s="958"/>
      <c r="W547" s="958"/>
      <c r="X547" s="958"/>
      <c r="Y547" s="958"/>
      <c r="Z547" s="958"/>
      <c r="AA547" s="958"/>
      <c r="AB547" s="958"/>
      <c r="AC547" s="958"/>
      <c r="AD547" s="958"/>
      <c r="AE547" s="958"/>
      <c r="AF547" s="958"/>
      <c r="AG547" s="958"/>
      <c r="AH547" s="946"/>
      <c r="AI547" s="1516"/>
      <c r="AJ547" s="928"/>
      <c r="AK547" s="928"/>
      <c r="AL547" s="928"/>
      <c r="AM547" s="925"/>
      <c r="AN547" s="1056"/>
      <c r="AS547" s="1066"/>
      <c r="AT547" s="1066"/>
      <c r="AU547" s="1066"/>
      <c r="AV547" s="1066"/>
      <c r="AW547" s="1066"/>
      <c r="AX547" s="1066"/>
      <c r="AY547" s="1066"/>
      <c r="AZ547" s="1066"/>
      <c r="BA547" s="1066"/>
      <c r="BB547" s="1066"/>
      <c r="BC547" s="1066"/>
      <c r="BD547" s="1067"/>
      <c r="BE547" s="1067"/>
      <c r="BF547" s="1067"/>
      <c r="BG547" s="1067"/>
      <c r="BH547" s="1067"/>
      <c r="BI547" s="1066"/>
      <c r="BJ547" s="1066"/>
      <c r="BK547" s="1066"/>
      <c r="BL547" s="1066"/>
      <c r="BM547" s="1066"/>
      <c r="BN547" s="1066"/>
      <c r="BO547" s="1066"/>
      <c r="BP547" s="1066"/>
      <c r="BQ547" s="1066"/>
      <c r="BR547" s="1066"/>
      <c r="BS547" s="1066"/>
      <c r="BT547" s="1066"/>
      <c r="BU547" s="1066"/>
      <c r="BV547" s="1066"/>
      <c r="BW547" s="1066"/>
      <c r="BX547" s="1066"/>
      <c r="BY547" s="1066"/>
      <c r="BZ547" s="1066"/>
      <c r="CA547" s="1066"/>
      <c r="CB547" s="1066"/>
      <c r="CC547" s="1066"/>
    </row>
    <row r="548" spans="1:81" s="1057" customFormat="1">
      <c r="A548" s="983"/>
      <c r="B548" s="958"/>
      <c r="C548" s="1064"/>
      <c r="D548" s="867"/>
      <c r="E548" s="867"/>
      <c r="F548" s="867"/>
      <c r="G548" s="867"/>
      <c r="H548" s="867"/>
      <c r="I548" s="867"/>
      <c r="J548" s="867"/>
      <c r="K548" s="867"/>
      <c r="L548" s="867"/>
      <c r="M548" s="867"/>
      <c r="N548" s="867"/>
      <c r="O548" s="867"/>
      <c r="P548" s="867"/>
      <c r="Q548" s="867"/>
      <c r="R548" s="867"/>
      <c r="S548" s="867"/>
      <c r="T548" s="867"/>
      <c r="U548" s="867"/>
      <c r="V548" s="867"/>
      <c r="W548" s="867"/>
      <c r="X548" s="867"/>
      <c r="Y548" s="867"/>
      <c r="Z548" s="867"/>
      <c r="AA548" s="867"/>
      <c r="AB548" s="867"/>
      <c r="AC548" s="867"/>
      <c r="AD548" s="958"/>
      <c r="AE548" s="867"/>
      <c r="AF548" s="867"/>
      <c r="AG548" s="867"/>
      <c r="AH548" s="867"/>
      <c r="AI548" s="949"/>
      <c r="AJ548" s="925"/>
      <c r="AK548" s="949"/>
      <c r="AL548" s="949"/>
      <c r="AM548" s="949"/>
      <c r="AN548" s="1056"/>
      <c r="AT548" s="1066"/>
      <c r="AU548" s="1066"/>
      <c r="AV548" s="1066"/>
      <c r="AW548" s="1066"/>
      <c r="AX548" s="1066"/>
      <c r="AY548" s="1066"/>
      <c r="AZ548" s="1066"/>
    </row>
    <row r="549" spans="1:81" s="1057" customFormat="1">
      <c r="A549" s="994"/>
      <c r="B549" s="1031"/>
      <c r="C549" s="1065"/>
      <c r="D549" s="1030"/>
      <c r="E549" s="1030"/>
      <c r="F549" s="1030"/>
      <c r="G549" s="1030"/>
      <c r="H549" s="1030"/>
      <c r="I549" s="1030"/>
      <c r="J549" s="1030"/>
      <c r="K549" s="1030"/>
      <c r="L549" s="1030"/>
      <c r="M549" s="1030"/>
      <c r="N549" s="1030"/>
      <c r="O549" s="1030"/>
      <c r="P549" s="1030"/>
      <c r="Q549" s="1030"/>
      <c r="R549" s="1030"/>
      <c r="S549" s="1030"/>
      <c r="T549" s="1030"/>
      <c r="U549" s="1030"/>
      <c r="V549" s="1030"/>
      <c r="W549" s="1030"/>
      <c r="X549" s="1030"/>
      <c r="Y549" s="1030"/>
      <c r="Z549" s="1030"/>
      <c r="AA549" s="1030"/>
      <c r="AB549" s="1030"/>
      <c r="AC549" s="1031"/>
      <c r="AD549" s="1030"/>
      <c r="AE549" s="1030"/>
      <c r="AF549" s="1030"/>
      <c r="AG549" s="1030"/>
      <c r="AH549" s="881"/>
      <c r="AI549" s="882" t="s">
        <v>1749</v>
      </c>
      <c r="AJ549" s="2980">
        <f>VLOOKUP($H$547,$AO$541:$AP$542,2,FALSE)</f>
        <v>0</v>
      </c>
      <c r="AK549" s="2982"/>
      <c r="AL549" s="928"/>
      <c r="AM549" s="925"/>
      <c r="AN549" s="1056"/>
      <c r="AS549" s="1066"/>
      <c r="AT549" s="1066"/>
      <c r="AU549" s="1066"/>
      <c r="AV549" s="1066"/>
      <c r="AW549" s="1066"/>
      <c r="AX549" s="1066"/>
      <c r="AY549" s="1066"/>
      <c r="AZ549" s="1066"/>
      <c r="BA549" s="1066"/>
      <c r="BB549" s="1066"/>
      <c r="BC549" s="1066"/>
      <c r="BD549" s="1067"/>
      <c r="BE549" s="1067"/>
      <c r="BF549" s="1067"/>
      <c r="BG549" s="1067"/>
      <c r="BH549" s="1067"/>
      <c r="BI549" s="1066"/>
      <c r="BJ549" s="1066"/>
      <c r="BK549" s="1066"/>
      <c r="BL549" s="1066"/>
      <c r="BM549" s="1066"/>
      <c r="BN549" s="1066"/>
      <c r="BO549" s="1066"/>
      <c r="BP549" s="1066"/>
      <c r="BQ549" s="1066"/>
      <c r="BR549" s="1066"/>
      <c r="BS549" s="1066"/>
      <c r="BT549" s="1066"/>
      <c r="BU549" s="1066"/>
      <c r="BV549" s="1066"/>
      <c r="BW549" s="1066"/>
      <c r="BX549" s="1066"/>
      <c r="BY549" s="1066"/>
      <c r="BZ549" s="1066"/>
      <c r="CA549" s="1066"/>
      <c r="CB549" s="1066"/>
      <c r="CC549" s="1066"/>
    </row>
    <row r="550" spans="1:81" s="866" customFormat="1" ht="12.75" customHeight="1">
      <c r="A550" s="983"/>
      <c r="B550" s="958"/>
      <c r="C550" s="1064"/>
      <c r="D550" s="867"/>
      <c r="E550" s="867"/>
      <c r="F550" s="867"/>
      <c r="G550" s="867"/>
      <c r="H550" s="867"/>
      <c r="I550" s="867"/>
      <c r="J550" s="867"/>
      <c r="K550" s="867"/>
      <c r="L550" s="867"/>
      <c r="M550" s="867"/>
      <c r="N550" s="867"/>
      <c r="O550" s="867"/>
      <c r="P550" s="867"/>
      <c r="Q550" s="867"/>
      <c r="R550" s="867"/>
      <c r="S550" s="867"/>
      <c r="T550" s="867"/>
      <c r="U550" s="867"/>
      <c r="V550" s="867"/>
      <c r="W550" s="867"/>
      <c r="X550" s="867"/>
      <c r="Y550" s="867"/>
      <c r="Z550" s="867"/>
      <c r="AA550" s="867"/>
      <c r="AB550" s="867"/>
      <c r="AC550" s="867"/>
      <c r="AD550" s="958"/>
      <c r="AE550" s="867"/>
      <c r="AF550" s="867"/>
      <c r="AG550" s="867"/>
      <c r="AH550" s="867"/>
      <c r="AI550" s="949"/>
      <c r="AJ550" s="925"/>
      <c r="AK550" s="949"/>
      <c r="AL550" s="949"/>
      <c r="AM550" s="949"/>
      <c r="AN550" s="923"/>
    </row>
    <row r="551" spans="1:81" s="866" customFormat="1" ht="12.75" customHeight="1">
      <c r="A551" s="940"/>
      <c r="B551" s="1030"/>
      <c r="C551" s="1030"/>
      <c r="D551" s="1030"/>
      <c r="E551" s="1030"/>
      <c r="F551" s="1030"/>
      <c r="G551" s="1030"/>
      <c r="H551" s="1030"/>
      <c r="I551" s="1030"/>
      <c r="J551" s="1030"/>
      <c r="K551" s="1030"/>
      <c r="L551" s="1030"/>
      <c r="M551" s="1030"/>
      <c r="N551" s="1030"/>
      <c r="O551" s="1030"/>
      <c r="P551" s="1030"/>
      <c r="Q551" s="1030"/>
      <c r="R551" s="1030"/>
      <c r="S551" s="1030"/>
      <c r="T551" s="1030"/>
      <c r="U551" s="1030"/>
      <c r="V551" s="1030"/>
      <c r="W551" s="1030"/>
      <c r="X551" s="1030"/>
      <c r="Y551" s="1030"/>
      <c r="Z551" s="1030"/>
      <c r="AA551" s="1030"/>
      <c r="AB551" s="1030"/>
      <c r="AC551" s="1031"/>
      <c r="AD551" s="1030"/>
      <c r="AE551" s="941"/>
      <c r="AF551" s="941"/>
      <c r="AG551" s="941"/>
      <c r="AH551" s="941"/>
      <c r="AI551" s="882"/>
      <c r="AJ551" s="882" t="s">
        <v>1750</v>
      </c>
      <c r="AK551" s="2980">
        <f>IF(($AJ$382+$AJ$401+$AJ$413+$AJ$448+$AJ$468+$AJ$482+$AJ$494+$AJ$510+$AJ$522+$AJ$538+AJ549)&gt;10,10,($AJ$382+$AJ$401+$AJ$413+$AJ$448+$AJ$468+$AJ$482+$AJ$494+$AJ$510+$AJ$522+$AJ$538+AJ549))</f>
        <v>10</v>
      </c>
      <c r="AL551" s="2981"/>
      <c r="AM551" s="2982"/>
      <c r="AN551" s="923"/>
    </row>
    <row r="552" spans="1:81" s="866" customFormat="1" ht="12.75" customHeight="1">
      <c r="A552" s="949"/>
      <c r="B552" s="867"/>
      <c r="C552" s="867"/>
      <c r="D552" s="867"/>
      <c r="E552" s="867"/>
      <c r="F552" s="867"/>
      <c r="G552" s="867"/>
      <c r="H552" s="867"/>
      <c r="I552" s="867"/>
      <c r="J552" s="867"/>
      <c r="K552" s="867"/>
      <c r="L552" s="867"/>
      <c r="M552" s="867"/>
      <c r="N552" s="867"/>
      <c r="O552" s="867"/>
      <c r="P552" s="867"/>
      <c r="Q552" s="867"/>
      <c r="R552" s="867"/>
      <c r="S552" s="867"/>
      <c r="T552" s="867"/>
      <c r="U552" s="867"/>
      <c r="V552" s="867"/>
      <c r="W552" s="867"/>
      <c r="X552" s="867"/>
      <c r="Y552" s="867"/>
      <c r="Z552" s="867"/>
      <c r="AA552" s="867"/>
      <c r="AB552" s="867"/>
      <c r="AC552" s="958"/>
      <c r="AD552" s="867"/>
      <c r="AE552" s="949"/>
      <c r="AF552" s="949"/>
      <c r="AG552" s="949"/>
      <c r="AH552" s="949"/>
      <c r="AI552" s="960"/>
      <c r="AJ552" s="960"/>
      <c r="AK552" s="928"/>
      <c r="AL552" s="928"/>
      <c r="AM552" s="928"/>
      <c r="AN552" s="923"/>
    </row>
    <row r="553" spans="1:81" s="866" customFormat="1" ht="12.75" customHeight="1">
      <c r="A553" s="940"/>
      <c r="B553" s="1030"/>
      <c r="C553" s="1030"/>
      <c r="D553" s="1030"/>
      <c r="E553" s="1030"/>
      <c r="F553" s="1030"/>
      <c r="G553" s="1030"/>
      <c r="H553" s="1030"/>
      <c r="I553" s="1030"/>
      <c r="J553" s="1030"/>
      <c r="K553" s="1030"/>
      <c r="L553" s="1030"/>
      <c r="M553" s="1030"/>
      <c r="N553" s="1030"/>
      <c r="O553" s="1030"/>
      <c r="P553" s="1030"/>
      <c r="Q553" s="1030"/>
      <c r="R553" s="1030"/>
      <c r="S553" s="1030"/>
      <c r="T553" s="1030"/>
      <c r="U553" s="1030"/>
      <c r="V553" s="1030"/>
      <c r="W553" s="1030"/>
      <c r="X553" s="1030"/>
      <c r="Y553" s="1030"/>
      <c r="Z553" s="1030"/>
      <c r="AA553" s="1030"/>
      <c r="AB553" s="1030"/>
      <c r="AC553" s="1031"/>
      <c r="AD553" s="1030"/>
      <c r="AE553" s="941"/>
      <c r="AF553" s="941"/>
      <c r="AG553" s="941"/>
      <c r="AH553" s="941"/>
      <c r="AI553" s="882"/>
      <c r="AJ553" s="882" t="s">
        <v>1751</v>
      </c>
      <c r="AK553" s="2980">
        <f>IF((AK320+AK551)&gt;20,20,(AK320+AK551))</f>
        <v>19</v>
      </c>
      <c r="AL553" s="2981"/>
      <c r="AM553" s="2982"/>
      <c r="AN553" s="923"/>
    </row>
    <row r="554" spans="1:81" s="866" customFormat="1" ht="12.75" customHeight="1" thickBot="1">
      <c r="A554" s="965"/>
      <c r="B554" s="965"/>
      <c r="C554" s="965"/>
      <c r="D554" s="965"/>
      <c r="E554" s="967"/>
      <c r="F554" s="967"/>
      <c r="G554" s="967"/>
      <c r="H554" s="967"/>
      <c r="I554" s="967"/>
      <c r="J554" s="967"/>
      <c r="K554" s="967"/>
      <c r="L554" s="967"/>
      <c r="M554" s="967"/>
      <c r="N554" s="967"/>
      <c r="O554" s="967"/>
      <c r="P554" s="967"/>
      <c r="Q554" s="967"/>
      <c r="R554" s="967"/>
      <c r="S554" s="967"/>
      <c r="T554" s="967"/>
      <c r="U554" s="967"/>
      <c r="V554" s="967"/>
      <c r="W554" s="967"/>
      <c r="X554" s="967"/>
      <c r="Y554" s="967"/>
      <c r="Z554" s="967"/>
      <c r="AA554" s="967"/>
      <c r="AB554" s="967"/>
      <c r="AC554" s="967"/>
      <c r="AD554" s="967"/>
      <c r="AE554" s="967"/>
      <c r="AF554" s="967"/>
      <c r="AG554" s="967"/>
      <c r="AH554" s="967"/>
      <c r="AI554" s="967"/>
      <c r="AJ554" s="967"/>
      <c r="AK554" s="967"/>
      <c r="AL554" s="967"/>
      <c r="AM554" s="967"/>
      <c r="AN554" s="923"/>
    </row>
    <row r="555" spans="1:81" s="866"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23"/>
    </row>
    <row r="556" spans="1:81" s="866" customFormat="1" ht="12.75" customHeight="1">
      <c r="A556" s="935" t="s">
        <v>1752</v>
      </c>
      <c r="B556" s="935" t="s">
        <v>912</v>
      </c>
      <c r="C556" s="946"/>
      <c r="D556" s="983"/>
      <c r="E556" s="983"/>
      <c r="F556" s="949"/>
      <c r="G556" s="949"/>
      <c r="H556" s="949"/>
      <c r="I556" s="949"/>
      <c r="J556" s="949"/>
      <c r="K556" s="949"/>
      <c r="L556" s="949"/>
      <c r="M556" s="949"/>
      <c r="N556" s="949"/>
      <c r="O556" s="949"/>
      <c r="P556" s="949"/>
      <c r="Q556" s="949"/>
      <c r="R556" s="949"/>
      <c r="S556" s="949"/>
      <c r="T556" s="949"/>
      <c r="U556" s="949"/>
      <c r="V556" s="949"/>
      <c r="W556" s="949"/>
      <c r="X556" s="949"/>
      <c r="Y556" s="949"/>
      <c r="Z556" s="949"/>
      <c r="AA556" s="949"/>
      <c r="AB556" s="949"/>
      <c r="AC556" s="909"/>
      <c r="AD556" s="949"/>
      <c r="AE556" s="2964" t="s">
        <v>1600</v>
      </c>
      <c r="AF556" s="2964"/>
      <c r="AG556" s="2964"/>
      <c r="AH556" s="2964"/>
      <c r="AI556" s="2964"/>
      <c r="AJ556" s="2964"/>
      <c r="AK556" s="2964"/>
      <c r="AL556" s="935"/>
      <c r="AM556" s="935"/>
      <c r="AN556" s="1070"/>
    </row>
    <row r="557" spans="1:81" s="866" customFormat="1" ht="12.75" customHeight="1">
      <c r="A557" s="935"/>
      <c r="B557" s="935"/>
      <c r="C557" s="946"/>
      <c r="D557" s="983"/>
      <c r="E557" s="983"/>
      <c r="F557" s="949"/>
      <c r="G557" s="949"/>
      <c r="H557" s="949"/>
      <c r="I557" s="949"/>
      <c r="J557" s="949"/>
      <c r="K557" s="949"/>
      <c r="L557" s="949"/>
      <c r="M557" s="949"/>
      <c r="N557" s="949"/>
      <c r="O557" s="949"/>
      <c r="P557" s="949"/>
      <c r="Q557" s="949"/>
      <c r="R557" s="949"/>
      <c r="S557" s="949"/>
      <c r="T557" s="949"/>
      <c r="U557" s="949"/>
      <c r="V557" s="949"/>
      <c r="W557" s="949"/>
      <c r="X557" s="949"/>
      <c r="Y557" s="949"/>
      <c r="Z557" s="949"/>
      <c r="AA557" s="949"/>
      <c r="AB557" s="949"/>
      <c r="AC557" s="909"/>
      <c r="AD557" s="949"/>
      <c r="AE557" s="960"/>
      <c r="AF557" s="960"/>
      <c r="AG557" s="960"/>
      <c r="AH557" s="960"/>
      <c r="AI557" s="960"/>
      <c r="AJ557" s="960"/>
      <c r="AK557" s="960"/>
      <c r="AL557" s="935"/>
      <c r="AM557" s="935"/>
      <c r="AN557" s="1070"/>
    </row>
    <row r="558" spans="1:81" s="866" customFormat="1" ht="12.75" customHeight="1">
      <c r="A558" s="950"/>
      <c r="B558" s="951"/>
      <c r="C558" s="3029" t="s">
        <v>1753</v>
      </c>
      <c r="D558" s="3029"/>
      <c r="E558" s="3029"/>
      <c r="F558" s="3029"/>
      <c r="G558" s="3029"/>
      <c r="H558" s="3029"/>
      <c r="I558" s="3029"/>
      <c r="J558" s="3029"/>
      <c r="K558" s="3029"/>
      <c r="L558" s="3029"/>
      <c r="M558" s="3029"/>
      <c r="N558" s="3029"/>
      <c r="O558" s="3029"/>
      <c r="P558" s="3029"/>
      <c r="Q558" s="3029"/>
      <c r="R558" s="3029"/>
      <c r="S558" s="3029"/>
      <c r="T558" s="3029"/>
      <c r="U558" s="3029"/>
      <c r="V558" s="3029"/>
      <c r="W558" s="3029"/>
      <c r="X558" s="3029"/>
      <c r="Y558" s="3029"/>
      <c r="Z558" s="3029"/>
      <c r="AA558" s="3029"/>
      <c r="AB558" s="3029"/>
      <c r="AC558" s="3029"/>
      <c r="AD558" s="3029"/>
      <c r="AE558" s="3029"/>
      <c r="AF558" s="3029"/>
      <c r="AG558" s="3029"/>
      <c r="AH558" s="3029"/>
      <c r="AI558" s="3029"/>
      <c r="AJ558" s="3029"/>
      <c r="AK558" s="950"/>
      <c r="AL558" s="950"/>
      <c r="AM558" s="950"/>
      <c r="AN558" s="923"/>
    </row>
    <row r="559" spans="1:81" s="866" customFormat="1" ht="12.75" customHeight="1">
      <c r="A559" s="950"/>
      <c r="B559" s="951"/>
      <c r="C559" s="3029"/>
      <c r="D559" s="3029"/>
      <c r="E559" s="3029"/>
      <c r="F559" s="3029"/>
      <c r="G559" s="3029"/>
      <c r="H559" s="3029"/>
      <c r="I559" s="3029"/>
      <c r="J559" s="3029"/>
      <c r="K559" s="3029"/>
      <c r="L559" s="3029"/>
      <c r="M559" s="3029"/>
      <c r="N559" s="3029"/>
      <c r="O559" s="3029"/>
      <c r="P559" s="3029"/>
      <c r="Q559" s="3029"/>
      <c r="R559" s="3029"/>
      <c r="S559" s="3029"/>
      <c r="T559" s="3029"/>
      <c r="U559" s="3029"/>
      <c r="V559" s="3029"/>
      <c r="W559" s="3029"/>
      <c r="X559" s="3029"/>
      <c r="Y559" s="3029"/>
      <c r="Z559" s="3029"/>
      <c r="AA559" s="3029"/>
      <c r="AB559" s="3029"/>
      <c r="AC559" s="3029"/>
      <c r="AD559" s="3029"/>
      <c r="AE559" s="3029"/>
      <c r="AF559" s="3029"/>
      <c r="AG559" s="3029"/>
      <c r="AH559" s="3029"/>
      <c r="AI559" s="3029"/>
      <c r="AJ559" s="3029"/>
      <c r="AK559" s="950"/>
      <c r="AL559" s="950"/>
      <c r="AM559" s="950"/>
      <c r="AN559" s="923"/>
    </row>
    <row r="560" spans="1:81" s="866" customFormat="1" ht="12.75" customHeight="1">
      <c r="A560" s="950"/>
      <c r="B560" s="951"/>
      <c r="C560" s="3029"/>
      <c r="D560" s="3029"/>
      <c r="E560" s="3029"/>
      <c r="F560" s="3029"/>
      <c r="G560" s="3029"/>
      <c r="H560" s="3029"/>
      <c r="I560" s="3029"/>
      <c r="J560" s="3029"/>
      <c r="K560" s="3029"/>
      <c r="L560" s="3029"/>
      <c r="M560" s="3029"/>
      <c r="N560" s="3029"/>
      <c r="O560" s="3029"/>
      <c r="P560" s="3029"/>
      <c r="Q560" s="3029"/>
      <c r="R560" s="3029"/>
      <c r="S560" s="3029"/>
      <c r="T560" s="3029"/>
      <c r="U560" s="3029"/>
      <c r="V560" s="3029"/>
      <c r="W560" s="3029"/>
      <c r="X560" s="3029"/>
      <c r="Y560" s="3029"/>
      <c r="Z560" s="3029"/>
      <c r="AA560" s="3029"/>
      <c r="AB560" s="3029"/>
      <c r="AC560" s="3029"/>
      <c r="AD560" s="3029"/>
      <c r="AE560" s="3029"/>
      <c r="AF560" s="3029"/>
      <c r="AG560" s="3029"/>
      <c r="AH560" s="3029"/>
      <c r="AI560" s="3029"/>
      <c r="AJ560" s="3029"/>
      <c r="AK560" s="950"/>
      <c r="AL560" s="950"/>
      <c r="AM560" s="950"/>
      <c r="AN560" s="923"/>
      <c r="AQ560" s="1058"/>
      <c r="AR560" s="925"/>
    </row>
    <row r="561" spans="1:46" s="866" customFormat="1" ht="12.75" customHeight="1">
      <c r="A561" s="950"/>
      <c r="B561" s="1041"/>
      <c r="C561" s="3029"/>
      <c r="D561" s="3029"/>
      <c r="E561" s="3029"/>
      <c r="F561" s="3029"/>
      <c r="G561" s="3029"/>
      <c r="H561" s="3029"/>
      <c r="I561" s="3029"/>
      <c r="J561" s="3029"/>
      <c r="K561" s="3029"/>
      <c r="L561" s="3029"/>
      <c r="M561" s="3029"/>
      <c r="N561" s="3029"/>
      <c r="O561" s="3029"/>
      <c r="P561" s="3029"/>
      <c r="Q561" s="3029"/>
      <c r="R561" s="3029"/>
      <c r="S561" s="3029"/>
      <c r="T561" s="3029"/>
      <c r="U561" s="3029"/>
      <c r="V561" s="3029"/>
      <c r="W561" s="3029"/>
      <c r="X561" s="3029"/>
      <c r="Y561" s="3029"/>
      <c r="Z561" s="3029"/>
      <c r="AA561" s="3029"/>
      <c r="AB561" s="3029"/>
      <c r="AC561" s="3029"/>
      <c r="AD561" s="3029"/>
      <c r="AE561" s="3029"/>
      <c r="AF561" s="3029"/>
      <c r="AG561" s="3029"/>
      <c r="AH561" s="3029"/>
      <c r="AI561" s="3029"/>
      <c r="AJ561" s="3029"/>
      <c r="AK561" s="950"/>
      <c r="AL561" s="950"/>
      <c r="AM561" s="950"/>
      <c r="AN561" s="923"/>
      <c r="AQ561" s="1058"/>
      <c r="AR561" s="925"/>
    </row>
    <row r="562" spans="1:46" s="866" customFormat="1" ht="12.4" customHeight="1">
      <c r="A562" s="950"/>
      <c r="B562" s="1041"/>
      <c r="C562" s="3029"/>
      <c r="D562" s="3029"/>
      <c r="E562" s="3029"/>
      <c r="F562" s="3029"/>
      <c r="G562" s="3029"/>
      <c r="H562" s="3029"/>
      <c r="I562" s="3029"/>
      <c r="J562" s="3029"/>
      <c r="K562" s="3029"/>
      <c r="L562" s="3029"/>
      <c r="M562" s="3029"/>
      <c r="N562" s="3029"/>
      <c r="O562" s="3029"/>
      <c r="P562" s="3029"/>
      <c r="Q562" s="3029"/>
      <c r="R562" s="3029"/>
      <c r="S562" s="3029"/>
      <c r="T562" s="3029"/>
      <c r="U562" s="3029"/>
      <c r="V562" s="3029"/>
      <c r="W562" s="3029"/>
      <c r="X562" s="3029"/>
      <c r="Y562" s="3029"/>
      <c r="Z562" s="3029"/>
      <c r="AA562" s="3029"/>
      <c r="AB562" s="3029"/>
      <c r="AC562" s="3029"/>
      <c r="AD562" s="3029"/>
      <c r="AE562" s="3029"/>
      <c r="AF562" s="3029"/>
      <c r="AG562" s="3029"/>
      <c r="AH562" s="3029"/>
      <c r="AI562" s="3029"/>
      <c r="AJ562" s="3029"/>
      <c r="AK562" s="950"/>
      <c r="AL562" s="950"/>
      <c r="AM562" s="950"/>
      <c r="AN562" s="923"/>
      <c r="AQ562" s="1058"/>
      <c r="AR562" s="1058"/>
    </row>
    <row r="563" spans="1:46" s="866" customFormat="1" ht="25.15" customHeight="1">
      <c r="A563" s="950"/>
      <c r="B563" s="1041"/>
      <c r="C563" s="3029" t="s">
        <v>1754</v>
      </c>
      <c r="D563" s="3029"/>
      <c r="E563" s="3029"/>
      <c r="F563" s="3029"/>
      <c r="G563" s="3029"/>
      <c r="H563" s="3029"/>
      <c r="I563" s="3029"/>
      <c r="J563" s="3029"/>
      <c r="K563" s="3029"/>
      <c r="L563" s="3029"/>
      <c r="M563" s="3029"/>
      <c r="N563" s="3029"/>
      <c r="O563" s="3029"/>
      <c r="P563" s="3029"/>
      <c r="Q563" s="3029"/>
      <c r="R563" s="3029"/>
      <c r="S563" s="3029"/>
      <c r="T563" s="3029"/>
      <c r="U563" s="3029"/>
      <c r="V563" s="3029"/>
      <c r="W563" s="3029"/>
      <c r="X563" s="3029"/>
      <c r="Y563" s="3029"/>
      <c r="Z563" s="3029"/>
      <c r="AA563" s="3029"/>
      <c r="AB563" s="3029"/>
      <c r="AC563" s="3029"/>
      <c r="AD563" s="3029"/>
      <c r="AE563" s="3029"/>
      <c r="AF563" s="3029"/>
      <c r="AG563" s="3029"/>
      <c r="AH563" s="3029"/>
      <c r="AI563" s="3029"/>
      <c r="AJ563" s="3029"/>
      <c r="AK563" s="950"/>
      <c r="AL563" s="950"/>
      <c r="AM563" s="950"/>
      <c r="AN563" s="923"/>
      <c r="AQ563" s="1058"/>
      <c r="AR563" s="1058"/>
    </row>
    <row r="564" spans="1:46" s="866" customFormat="1" ht="12.4" customHeight="1">
      <c r="A564" s="950"/>
      <c r="B564" s="1041"/>
      <c r="C564" s="1072"/>
      <c r="D564" s="1072"/>
      <c r="E564" s="1072"/>
      <c r="F564" s="1072"/>
      <c r="G564" s="1072"/>
      <c r="H564" s="1072"/>
      <c r="I564" s="1072"/>
      <c r="J564" s="1072"/>
      <c r="K564" s="1072"/>
      <c r="L564" s="1072"/>
      <c r="M564" s="1072"/>
      <c r="N564" s="1072"/>
      <c r="O564" s="1072"/>
      <c r="P564" s="1072"/>
      <c r="Q564" s="1072"/>
      <c r="R564" s="1072"/>
      <c r="S564" s="1072"/>
      <c r="T564" s="1072"/>
      <c r="U564" s="1072"/>
      <c r="V564" s="1072"/>
      <c r="W564" s="1072"/>
      <c r="X564" s="1072"/>
      <c r="Y564" s="1072"/>
      <c r="Z564" s="1072"/>
      <c r="AA564" s="1072"/>
      <c r="AB564" s="1072"/>
      <c r="AC564" s="1072"/>
      <c r="AD564" s="1072"/>
      <c r="AE564" s="1072"/>
      <c r="AF564" s="1072"/>
      <c r="AG564" s="1072"/>
      <c r="AH564" s="1072"/>
      <c r="AI564" s="1072"/>
      <c r="AJ564" s="1072"/>
      <c r="AK564" s="950"/>
      <c r="AL564" s="950"/>
      <c r="AM564" s="950"/>
      <c r="AN564" s="923"/>
      <c r="AQ564" s="1058"/>
      <c r="AR564" s="1058"/>
    </row>
    <row r="565" spans="1:46" s="866" customFormat="1" ht="12.75" customHeight="1">
      <c r="A565" s="950"/>
      <c r="B565" s="1041"/>
      <c r="C565" s="3029" t="s">
        <v>1755</v>
      </c>
      <c r="D565" s="3029"/>
      <c r="E565" s="3029"/>
      <c r="F565" s="3029"/>
      <c r="G565" s="3029"/>
      <c r="H565" s="3029"/>
      <c r="I565" s="3029"/>
      <c r="J565" s="3029"/>
      <c r="K565" s="3029"/>
      <c r="L565" s="3029"/>
      <c r="M565" s="3029"/>
      <c r="N565" s="3029"/>
      <c r="O565" s="3029"/>
      <c r="P565" s="3029"/>
      <c r="Q565" s="3029"/>
      <c r="R565" s="3029"/>
      <c r="S565" s="3029"/>
      <c r="T565" s="3029"/>
      <c r="U565" s="3029"/>
      <c r="V565" s="3029"/>
      <c r="W565" s="3029"/>
      <c r="X565" s="3029"/>
      <c r="Y565" s="3029"/>
      <c r="Z565" s="3029"/>
      <c r="AA565" s="3029"/>
      <c r="AB565" s="3029"/>
      <c r="AC565" s="3029"/>
      <c r="AD565" s="3029"/>
      <c r="AE565" s="3029"/>
      <c r="AF565" s="3029"/>
      <c r="AG565" s="3029"/>
      <c r="AH565" s="3029"/>
      <c r="AI565" s="3029"/>
      <c r="AJ565" s="3029"/>
      <c r="AK565" s="950"/>
      <c r="AL565" s="950"/>
      <c r="AM565" s="950"/>
      <c r="AN565" s="923"/>
      <c r="AQ565" s="1058"/>
      <c r="AR565" s="1058"/>
    </row>
    <row r="566" spans="1:46" s="866" customFormat="1" ht="12.75" customHeight="1">
      <c r="A566" s="950"/>
      <c r="B566" s="1041"/>
      <c r="C566" s="3029"/>
      <c r="D566" s="3029"/>
      <c r="E566" s="3029"/>
      <c r="F566" s="3029"/>
      <c r="G566" s="3029"/>
      <c r="H566" s="3029"/>
      <c r="I566" s="3029"/>
      <c r="J566" s="3029"/>
      <c r="K566" s="3029"/>
      <c r="L566" s="3029"/>
      <c r="M566" s="3029"/>
      <c r="N566" s="3029"/>
      <c r="O566" s="3029"/>
      <c r="P566" s="3029"/>
      <c r="Q566" s="3029"/>
      <c r="R566" s="3029"/>
      <c r="S566" s="3029"/>
      <c r="T566" s="3029"/>
      <c r="U566" s="3029"/>
      <c r="V566" s="3029"/>
      <c r="W566" s="3029"/>
      <c r="X566" s="3029"/>
      <c r="Y566" s="3029"/>
      <c r="Z566" s="3029"/>
      <c r="AA566" s="3029"/>
      <c r="AB566" s="3029"/>
      <c r="AC566" s="3029"/>
      <c r="AD566" s="3029"/>
      <c r="AE566" s="3029"/>
      <c r="AF566" s="3029"/>
      <c r="AG566" s="3029"/>
      <c r="AH566" s="3029"/>
      <c r="AI566" s="3029"/>
      <c r="AJ566" s="3029"/>
      <c r="AK566" s="950"/>
      <c r="AL566" s="950"/>
      <c r="AM566" s="950"/>
      <c r="AN566" s="923"/>
      <c r="AQ566" s="925"/>
      <c r="AR566" s="1058"/>
    </row>
    <row r="567" spans="1:46" s="866" customFormat="1" ht="12.75" customHeight="1">
      <c r="A567" s="950"/>
      <c r="B567" s="1041"/>
      <c r="C567" s="3029"/>
      <c r="D567" s="3029"/>
      <c r="E567" s="3029"/>
      <c r="F567" s="3029"/>
      <c r="G567" s="3029"/>
      <c r="H567" s="3029"/>
      <c r="I567" s="3029"/>
      <c r="J567" s="3029"/>
      <c r="K567" s="3029"/>
      <c r="L567" s="3029"/>
      <c r="M567" s="3029"/>
      <c r="N567" s="3029"/>
      <c r="O567" s="3029"/>
      <c r="P567" s="3029"/>
      <c r="Q567" s="3029"/>
      <c r="R567" s="3029"/>
      <c r="S567" s="3029"/>
      <c r="T567" s="3029"/>
      <c r="U567" s="3029"/>
      <c r="V567" s="3029"/>
      <c r="W567" s="3029"/>
      <c r="X567" s="3029"/>
      <c r="Y567" s="3029"/>
      <c r="Z567" s="3029"/>
      <c r="AA567" s="3029"/>
      <c r="AB567" s="3029"/>
      <c r="AC567" s="3029"/>
      <c r="AD567" s="3029"/>
      <c r="AE567" s="3029"/>
      <c r="AF567" s="3029"/>
      <c r="AG567" s="3029"/>
      <c r="AH567" s="3029"/>
      <c r="AI567" s="3029"/>
      <c r="AJ567" s="3029"/>
      <c r="AK567" s="950"/>
      <c r="AL567" s="950"/>
      <c r="AM567" s="950"/>
      <c r="AN567" s="923"/>
      <c r="AQ567" s="925"/>
      <c r="AR567" s="1058"/>
    </row>
    <row r="568" spans="1:46" s="866" customFormat="1" ht="12.75" customHeight="1">
      <c r="A568" s="950"/>
      <c r="B568" s="1041"/>
      <c r="C568" s="3029" t="s">
        <v>1756</v>
      </c>
      <c r="D568" s="3029"/>
      <c r="E568" s="3029"/>
      <c r="F568" s="3029"/>
      <c r="G568" s="3029"/>
      <c r="H568" s="3029"/>
      <c r="I568" s="3029"/>
      <c r="J568" s="3029"/>
      <c r="K568" s="3029"/>
      <c r="L568" s="3029"/>
      <c r="M568" s="3029"/>
      <c r="N568" s="3029"/>
      <c r="O568" s="3029"/>
      <c r="P568" s="3029"/>
      <c r="Q568" s="3029"/>
      <c r="R568" s="3029"/>
      <c r="S568" s="3029"/>
      <c r="T568" s="3029"/>
      <c r="U568" s="3029"/>
      <c r="V568" s="3029"/>
      <c r="W568" s="3029"/>
      <c r="X568" s="3029"/>
      <c r="Y568" s="3029"/>
      <c r="Z568" s="3029"/>
      <c r="AA568" s="3029"/>
      <c r="AB568" s="3029"/>
      <c r="AC568" s="3029"/>
      <c r="AD568" s="3029"/>
      <c r="AE568" s="3029"/>
      <c r="AF568" s="3029"/>
      <c r="AG568" s="3029"/>
      <c r="AH568" s="3029"/>
      <c r="AI568" s="3029"/>
      <c r="AJ568" s="3029"/>
      <c r="AK568" s="950"/>
      <c r="AL568" s="950"/>
      <c r="AM568" s="950"/>
      <c r="AN568" s="923"/>
      <c r="AQ568" s="1058"/>
      <c r="AR568" s="1058"/>
    </row>
    <row r="569" spans="1:46" s="866" customFormat="1" ht="12.75" customHeight="1">
      <c r="A569" s="950"/>
      <c r="B569" s="1041"/>
      <c r="C569" s="3029"/>
      <c r="D569" s="3029"/>
      <c r="E569" s="3029"/>
      <c r="F569" s="3029"/>
      <c r="G569" s="3029"/>
      <c r="H569" s="3029"/>
      <c r="I569" s="3029"/>
      <c r="J569" s="3029"/>
      <c r="K569" s="3029"/>
      <c r="L569" s="3029"/>
      <c r="M569" s="3029"/>
      <c r="N569" s="3029"/>
      <c r="O569" s="3029"/>
      <c r="P569" s="3029"/>
      <c r="Q569" s="3029"/>
      <c r="R569" s="3029"/>
      <c r="S569" s="3029"/>
      <c r="T569" s="3029"/>
      <c r="U569" s="3029"/>
      <c r="V569" s="3029"/>
      <c r="W569" s="3029"/>
      <c r="X569" s="3029"/>
      <c r="Y569" s="3029"/>
      <c r="Z569" s="3029"/>
      <c r="AA569" s="3029"/>
      <c r="AB569" s="3029"/>
      <c r="AC569" s="3029"/>
      <c r="AD569" s="3029"/>
      <c r="AE569" s="3029"/>
      <c r="AF569" s="3029"/>
      <c r="AG569" s="3029"/>
      <c r="AH569" s="3029"/>
      <c r="AI569" s="3029"/>
      <c r="AJ569" s="3029"/>
      <c r="AK569" s="950"/>
      <c r="AL569" s="950"/>
      <c r="AM569" s="950"/>
      <c r="AN569" s="923"/>
      <c r="AQ569" s="1058"/>
      <c r="AR569" s="1058"/>
    </row>
    <row r="570" spans="1:46" s="866" customFormat="1" ht="13.15" customHeight="1">
      <c r="A570" s="950"/>
      <c r="B570" s="1041"/>
      <c r="C570" s="3029"/>
      <c r="D570" s="3029"/>
      <c r="E570" s="3029"/>
      <c r="F570" s="3029"/>
      <c r="G570" s="3029"/>
      <c r="H570" s="3029"/>
      <c r="I570" s="3029"/>
      <c r="J570" s="3029"/>
      <c r="K570" s="3029"/>
      <c r="L570" s="3029"/>
      <c r="M570" s="3029"/>
      <c r="N570" s="3029"/>
      <c r="O570" s="3029"/>
      <c r="P570" s="3029"/>
      <c r="Q570" s="3029"/>
      <c r="R570" s="3029"/>
      <c r="S570" s="3029"/>
      <c r="T570" s="3029"/>
      <c r="U570" s="3029"/>
      <c r="V570" s="3029"/>
      <c r="W570" s="3029"/>
      <c r="X570" s="3029"/>
      <c r="Y570" s="3029"/>
      <c r="Z570" s="3029"/>
      <c r="AA570" s="3029"/>
      <c r="AB570" s="3029"/>
      <c r="AC570" s="3029"/>
      <c r="AD570" s="3029"/>
      <c r="AE570" s="3029"/>
      <c r="AF570" s="3029"/>
      <c r="AG570" s="3029"/>
      <c r="AH570" s="3029"/>
      <c r="AI570" s="3029"/>
      <c r="AJ570" s="3029"/>
      <c r="AK570" s="950"/>
      <c r="AL570" s="950"/>
      <c r="AM570" s="950"/>
      <c r="AN570" s="923"/>
      <c r="AQ570" s="1058"/>
      <c r="AR570" s="1058"/>
    </row>
    <row r="571" spans="1:46" s="866" customFormat="1" ht="12.75" customHeight="1">
      <c r="A571" s="950"/>
      <c r="B571" s="1041"/>
      <c r="C571" s="3029"/>
      <c r="D571" s="3029"/>
      <c r="E571" s="3029"/>
      <c r="F571" s="3029"/>
      <c r="G571" s="3029"/>
      <c r="H571" s="3029"/>
      <c r="I571" s="3029"/>
      <c r="J571" s="3029"/>
      <c r="K571" s="3029"/>
      <c r="L571" s="3029"/>
      <c r="M571" s="3029"/>
      <c r="N571" s="3029"/>
      <c r="O571" s="3029"/>
      <c r="P571" s="3029"/>
      <c r="Q571" s="3029"/>
      <c r="R571" s="3029"/>
      <c r="S571" s="3029"/>
      <c r="T571" s="3029"/>
      <c r="U571" s="3029"/>
      <c r="V571" s="3029"/>
      <c r="W571" s="3029"/>
      <c r="X571" s="3029"/>
      <c r="Y571" s="3029"/>
      <c r="Z571" s="3029"/>
      <c r="AA571" s="3029"/>
      <c r="AB571" s="3029"/>
      <c r="AC571" s="3029"/>
      <c r="AD571" s="3029"/>
      <c r="AE571" s="3029"/>
      <c r="AF571" s="3029"/>
      <c r="AG571" s="3029"/>
      <c r="AH571" s="3029"/>
      <c r="AI571" s="3029"/>
      <c r="AJ571" s="3029"/>
      <c r="AK571" s="950"/>
      <c r="AL571" s="950"/>
      <c r="AM571" s="950"/>
      <c r="AN571" s="923"/>
      <c r="AO571" s="1073"/>
      <c r="AP571" s="1073"/>
      <c r="AQ571" s="1058"/>
      <c r="AR571" s="925"/>
    </row>
    <row r="572" spans="1:46" s="866" customFormat="1" ht="11.85" customHeight="1">
      <c r="A572" s="950"/>
      <c r="B572" s="1041"/>
      <c r="C572" s="3029"/>
      <c r="D572" s="3029"/>
      <c r="E572" s="3029"/>
      <c r="F572" s="3029"/>
      <c r="G572" s="3029"/>
      <c r="H572" s="3029"/>
      <c r="I572" s="3029"/>
      <c r="J572" s="3029"/>
      <c r="K572" s="3029"/>
      <c r="L572" s="3029"/>
      <c r="M572" s="3029"/>
      <c r="N572" s="3029"/>
      <c r="O572" s="3029"/>
      <c r="P572" s="3029"/>
      <c r="Q572" s="3029"/>
      <c r="R572" s="3029"/>
      <c r="S572" s="3029"/>
      <c r="T572" s="3029"/>
      <c r="U572" s="3029"/>
      <c r="V572" s="3029"/>
      <c r="W572" s="3029"/>
      <c r="X572" s="3029"/>
      <c r="Y572" s="3029"/>
      <c r="Z572" s="3029"/>
      <c r="AA572" s="3029"/>
      <c r="AB572" s="3029"/>
      <c r="AC572" s="3029"/>
      <c r="AD572" s="3029"/>
      <c r="AE572" s="3029"/>
      <c r="AF572" s="3029"/>
      <c r="AG572" s="3029"/>
      <c r="AH572" s="3029"/>
      <c r="AI572" s="3029"/>
      <c r="AJ572" s="3029"/>
      <c r="AK572" s="950"/>
      <c r="AL572" s="950"/>
      <c r="AM572" s="950"/>
      <c r="AN572" s="923"/>
      <c r="AO572" s="1074" t="s">
        <v>117</v>
      </c>
      <c r="AP572" s="1075">
        <f>IF(C596="Yes",5,0)</f>
        <v>0</v>
      </c>
      <c r="AQ572" s="925"/>
      <c r="AR572" s="925"/>
      <c r="AS572" s="855" t="s">
        <v>1757</v>
      </c>
    </row>
    <row r="573" spans="1:46" s="866" customFormat="1" ht="12.75" customHeight="1">
      <c r="A573" s="950"/>
      <c r="B573" s="1041"/>
      <c r="C573" s="3029"/>
      <c r="D573" s="3029"/>
      <c r="E573" s="3029"/>
      <c r="F573" s="3029"/>
      <c r="G573" s="3029"/>
      <c r="H573" s="3029"/>
      <c r="I573" s="3029"/>
      <c r="J573" s="3029"/>
      <c r="K573" s="3029"/>
      <c r="L573" s="3029"/>
      <c r="M573" s="3029"/>
      <c r="N573" s="3029"/>
      <c r="O573" s="3029"/>
      <c r="P573" s="3029"/>
      <c r="Q573" s="3029"/>
      <c r="R573" s="3029"/>
      <c r="S573" s="3029"/>
      <c r="T573" s="3029"/>
      <c r="U573" s="3029"/>
      <c r="V573" s="3029"/>
      <c r="W573" s="3029"/>
      <c r="X573" s="3029"/>
      <c r="Y573" s="3029"/>
      <c r="Z573" s="3029"/>
      <c r="AA573" s="3029"/>
      <c r="AB573" s="3029"/>
      <c r="AC573" s="3029"/>
      <c r="AD573" s="3029"/>
      <c r="AE573" s="3029"/>
      <c r="AF573" s="3029"/>
      <c r="AG573" s="3029"/>
      <c r="AH573" s="3029"/>
      <c r="AI573" s="3029"/>
      <c r="AJ573" s="3029"/>
      <c r="AK573" s="950"/>
      <c r="AL573" s="950"/>
      <c r="AM573" s="950"/>
      <c r="AN573" s="923"/>
      <c r="AO573" s="1074" t="s">
        <v>118</v>
      </c>
      <c r="AP573" s="1075">
        <f>IF(C604="Yes",5,0)</f>
        <v>0</v>
      </c>
      <c r="AQ573" s="925"/>
      <c r="AR573" s="925"/>
      <c r="AS573" s="3026">
        <f>IF(AQ581=0,AQ590,AQ581)</f>
        <v>12</v>
      </c>
      <c r="AT573" s="3026"/>
    </row>
    <row r="574" spans="1:46" s="866" customFormat="1" ht="12.75" customHeight="1">
      <c r="A574" s="950"/>
      <c r="B574" s="1041"/>
      <c r="C574" s="3029"/>
      <c r="D574" s="3029"/>
      <c r="E574" s="3029"/>
      <c r="F574" s="3029"/>
      <c r="G574" s="3029"/>
      <c r="H574" s="3029"/>
      <c r="I574" s="3029"/>
      <c r="J574" s="3029"/>
      <c r="K574" s="3029"/>
      <c r="L574" s="3029"/>
      <c r="M574" s="3029"/>
      <c r="N574" s="3029"/>
      <c r="O574" s="3029"/>
      <c r="P574" s="3029"/>
      <c r="Q574" s="3029"/>
      <c r="R574" s="3029"/>
      <c r="S574" s="3029"/>
      <c r="T574" s="3029"/>
      <c r="U574" s="3029"/>
      <c r="V574" s="3029"/>
      <c r="W574" s="3029"/>
      <c r="X574" s="3029"/>
      <c r="Y574" s="3029"/>
      <c r="Z574" s="3029"/>
      <c r="AA574" s="3029"/>
      <c r="AB574" s="3029"/>
      <c r="AC574" s="3029"/>
      <c r="AD574" s="3029"/>
      <c r="AE574" s="3029"/>
      <c r="AF574" s="3029"/>
      <c r="AG574" s="3029"/>
      <c r="AH574" s="3029"/>
      <c r="AI574" s="3029"/>
      <c r="AJ574" s="3029"/>
      <c r="AK574" s="950"/>
      <c r="AL574" s="950"/>
      <c r="AM574" s="950"/>
      <c r="AN574" s="923"/>
      <c r="AO574" s="1074" t="s">
        <v>124</v>
      </c>
      <c r="AP574" s="1075">
        <f>IF(C612="Yes",7,0)</f>
        <v>7</v>
      </c>
      <c r="AS574" s="855" t="s">
        <v>1758</v>
      </c>
    </row>
    <row r="575" spans="1:46" s="866" customFormat="1" ht="12.75" customHeight="1">
      <c r="A575" s="950"/>
      <c r="B575" s="1041"/>
      <c r="C575" s="3029"/>
      <c r="D575" s="3029"/>
      <c r="E575" s="3029"/>
      <c r="F575" s="3029"/>
      <c r="G575" s="3029"/>
      <c r="H575" s="3029"/>
      <c r="I575" s="3029"/>
      <c r="J575" s="3029"/>
      <c r="K575" s="3029"/>
      <c r="L575" s="3029"/>
      <c r="M575" s="3029"/>
      <c r="N575" s="3029"/>
      <c r="O575" s="3029"/>
      <c r="P575" s="3029"/>
      <c r="Q575" s="3029"/>
      <c r="R575" s="3029"/>
      <c r="S575" s="3029"/>
      <c r="T575" s="3029"/>
      <c r="U575" s="3029"/>
      <c r="V575" s="3029"/>
      <c r="W575" s="3029"/>
      <c r="X575" s="3029"/>
      <c r="Y575" s="3029"/>
      <c r="Z575" s="3029"/>
      <c r="AA575" s="3029"/>
      <c r="AB575" s="3029"/>
      <c r="AC575" s="3029"/>
      <c r="AD575" s="3029"/>
      <c r="AE575" s="3029"/>
      <c r="AF575" s="3029"/>
      <c r="AG575" s="3029"/>
      <c r="AH575" s="3029"/>
      <c r="AI575" s="3029"/>
      <c r="AJ575" s="3029"/>
      <c r="AK575" s="950"/>
      <c r="AL575" s="950"/>
      <c r="AM575" s="950"/>
      <c r="AN575" s="923"/>
      <c r="AO575" s="923"/>
      <c r="AP575" s="1075">
        <f>IF(C614="Yes",5,0)</f>
        <v>0</v>
      </c>
      <c r="AS575" s="3026">
        <f>IF(AND(AQ581&gt;0,AQ590&gt;0),(AQ581+AQ590)/2,0)</f>
        <v>0</v>
      </c>
      <c r="AT575" s="3026"/>
    </row>
    <row r="576" spans="1:46" s="866" customFormat="1" ht="12.75" customHeight="1">
      <c r="A576" s="950"/>
      <c r="B576" s="1041"/>
      <c r="C576" s="3029"/>
      <c r="D576" s="3029"/>
      <c r="E576" s="3029"/>
      <c r="F576" s="3029"/>
      <c r="G576" s="3029"/>
      <c r="H576" s="3029"/>
      <c r="I576" s="3029"/>
      <c r="J576" s="3029"/>
      <c r="K576" s="3029"/>
      <c r="L576" s="3029"/>
      <c r="M576" s="3029"/>
      <c r="N576" s="3029"/>
      <c r="O576" s="3029"/>
      <c r="P576" s="3029"/>
      <c r="Q576" s="3029"/>
      <c r="R576" s="3029"/>
      <c r="S576" s="3029"/>
      <c r="T576" s="3029"/>
      <c r="U576" s="3029"/>
      <c r="V576" s="3029"/>
      <c r="W576" s="3029"/>
      <c r="X576" s="3029"/>
      <c r="Y576" s="3029"/>
      <c r="Z576" s="3029"/>
      <c r="AA576" s="3029"/>
      <c r="AB576" s="3029"/>
      <c r="AC576" s="3029"/>
      <c r="AD576" s="3029"/>
      <c r="AE576" s="3029"/>
      <c r="AF576" s="3029"/>
      <c r="AG576" s="3029"/>
      <c r="AH576" s="3029"/>
      <c r="AI576" s="3029"/>
      <c r="AJ576" s="3029"/>
      <c r="AK576" s="950"/>
      <c r="AL576" s="950"/>
      <c r="AM576" s="950"/>
      <c r="AN576" s="923"/>
      <c r="AO576" s="1074" t="s">
        <v>618</v>
      </c>
      <c r="AP576" s="1075">
        <f>IF(C622="Yes",5,0)</f>
        <v>0</v>
      </c>
      <c r="AQ576" s="925"/>
      <c r="AR576" s="925"/>
    </row>
    <row r="577" spans="1:81" s="866" customFormat="1" ht="12.75" customHeight="1">
      <c r="A577" s="950"/>
      <c r="B577" s="1041"/>
      <c r="C577" s="3027" t="s">
        <v>1759</v>
      </c>
      <c r="D577" s="3027"/>
      <c r="E577" s="3027"/>
      <c r="F577" s="3027"/>
      <c r="G577" s="3027"/>
      <c r="H577" s="3027"/>
      <c r="I577" s="3027"/>
      <c r="J577" s="3027"/>
      <c r="K577" s="3027"/>
      <c r="L577" s="3027"/>
      <c r="M577" s="3027"/>
      <c r="N577" s="3027"/>
      <c r="O577" s="3027"/>
      <c r="P577" s="3027"/>
      <c r="Q577" s="3027"/>
      <c r="R577" s="3027"/>
      <c r="S577" s="3027"/>
      <c r="T577" s="3027"/>
      <c r="U577" s="3027"/>
      <c r="V577" s="3027"/>
      <c r="W577" s="3027"/>
      <c r="X577" s="3027"/>
      <c r="Y577" s="3027"/>
      <c r="Z577" s="3027"/>
      <c r="AA577" s="3027"/>
      <c r="AB577" s="3027"/>
      <c r="AC577" s="3027"/>
      <c r="AD577" s="3027"/>
      <c r="AE577" s="3027"/>
      <c r="AF577" s="3027"/>
      <c r="AG577" s="3027"/>
      <c r="AH577" s="3027"/>
      <c r="AI577" s="3027"/>
      <c r="AJ577" s="3027"/>
      <c r="AK577" s="950"/>
      <c r="AL577" s="950"/>
      <c r="AM577" s="950"/>
      <c r="AN577" s="923"/>
      <c r="AO577" s="923"/>
      <c r="AP577" s="1075">
        <f>IF(C624="Yes",3,0)</f>
        <v>0</v>
      </c>
    </row>
    <row r="578" spans="1:81" s="866" customFormat="1" ht="12.75" customHeight="1">
      <c r="A578" s="950"/>
      <c r="B578" s="1041"/>
      <c r="C578" s="3027"/>
      <c r="D578" s="3027"/>
      <c r="E578" s="3027"/>
      <c r="F578" s="3027"/>
      <c r="G578" s="3027"/>
      <c r="H578" s="3027"/>
      <c r="I578" s="3027"/>
      <c r="J578" s="3027"/>
      <c r="K578" s="3027"/>
      <c r="L578" s="3027"/>
      <c r="M578" s="3027"/>
      <c r="N578" s="3027"/>
      <c r="O578" s="3027"/>
      <c r="P578" s="3027"/>
      <c r="Q578" s="3027"/>
      <c r="R578" s="3027"/>
      <c r="S578" s="3027"/>
      <c r="T578" s="3027"/>
      <c r="U578" s="3027"/>
      <c r="V578" s="3027"/>
      <c r="W578" s="3027"/>
      <c r="X578" s="3027"/>
      <c r="Y578" s="3027"/>
      <c r="Z578" s="3027"/>
      <c r="AA578" s="3027"/>
      <c r="AB578" s="3027"/>
      <c r="AC578" s="3027"/>
      <c r="AD578" s="3027"/>
      <c r="AE578" s="3027"/>
      <c r="AF578" s="3027"/>
      <c r="AG578" s="3027"/>
      <c r="AH578" s="3027"/>
      <c r="AI578" s="3027"/>
      <c r="AJ578" s="3027"/>
      <c r="AK578" s="950"/>
      <c r="AL578" s="950"/>
      <c r="AM578" s="950"/>
      <c r="AN578" s="923"/>
      <c r="AO578" s="1074" t="s">
        <v>825</v>
      </c>
      <c r="AP578" s="1075">
        <f>IF(C627="Yes",5,0)</f>
        <v>0</v>
      </c>
    </row>
    <row r="579" spans="1:81" s="866" customFormat="1" ht="12.75" customHeight="1">
      <c r="A579" s="950"/>
      <c r="B579" s="1041"/>
      <c r="C579" s="3027"/>
      <c r="D579" s="3027"/>
      <c r="E579" s="3027"/>
      <c r="F579" s="3027"/>
      <c r="G579" s="3027"/>
      <c r="H579" s="3027"/>
      <c r="I579" s="3027"/>
      <c r="J579" s="3027"/>
      <c r="K579" s="3027"/>
      <c r="L579" s="3027"/>
      <c r="M579" s="3027"/>
      <c r="N579" s="3027"/>
      <c r="O579" s="3027"/>
      <c r="P579" s="3027"/>
      <c r="Q579" s="3027"/>
      <c r="R579" s="3027"/>
      <c r="S579" s="3027"/>
      <c r="T579" s="3027"/>
      <c r="U579" s="3027"/>
      <c r="V579" s="3027"/>
      <c r="W579" s="3027"/>
      <c r="X579" s="3027"/>
      <c r="Y579" s="3027"/>
      <c r="Z579" s="3027"/>
      <c r="AA579" s="3027"/>
      <c r="AB579" s="3027"/>
      <c r="AC579" s="3027"/>
      <c r="AD579" s="3027"/>
      <c r="AE579" s="3027"/>
      <c r="AF579" s="3027"/>
      <c r="AG579" s="3027"/>
      <c r="AH579" s="3027"/>
      <c r="AI579" s="3027"/>
      <c r="AJ579" s="3027"/>
      <c r="AK579" s="950"/>
      <c r="AL579" s="950"/>
      <c r="AM579" s="950"/>
      <c r="AN579" s="923"/>
      <c r="AO579" s="1074" t="s">
        <v>621</v>
      </c>
      <c r="AP579" s="1075">
        <f>IF(C636="Yes",5,0)</f>
        <v>5</v>
      </c>
    </row>
    <row r="580" spans="1:81" s="866" customFormat="1" ht="11.85" customHeight="1">
      <c r="A580" s="950"/>
      <c r="B580" s="1041"/>
      <c r="C580" s="3027"/>
      <c r="D580" s="3027"/>
      <c r="E580" s="3027"/>
      <c r="F580" s="3027"/>
      <c r="G580" s="3027"/>
      <c r="H580" s="3027"/>
      <c r="I580" s="3027"/>
      <c r="J580" s="3027"/>
      <c r="K580" s="3027"/>
      <c r="L580" s="3027"/>
      <c r="M580" s="3027"/>
      <c r="N580" s="3027"/>
      <c r="O580" s="3027"/>
      <c r="P580" s="3027"/>
      <c r="Q580" s="3027"/>
      <c r="R580" s="3027"/>
      <c r="S580" s="3027"/>
      <c r="T580" s="3027"/>
      <c r="U580" s="3027"/>
      <c r="V580" s="3027"/>
      <c r="W580" s="3027"/>
      <c r="X580" s="3027"/>
      <c r="Y580" s="3027"/>
      <c r="Z580" s="3027"/>
      <c r="AA580" s="3027"/>
      <c r="AB580" s="3027"/>
      <c r="AC580" s="3027"/>
      <c r="AD580" s="3027"/>
      <c r="AE580" s="3027"/>
      <c r="AF580" s="3027"/>
      <c r="AG580" s="3027"/>
      <c r="AH580" s="3027"/>
      <c r="AI580" s="3027"/>
      <c r="AJ580" s="3027"/>
      <c r="AK580" s="950"/>
      <c r="AL580" s="950"/>
      <c r="AM580" s="950"/>
      <c r="AN580" s="923"/>
      <c r="AO580" s="1076"/>
      <c r="AP580" s="1077">
        <f>IF(C638="Yes",3,0)</f>
        <v>0</v>
      </c>
    </row>
    <row r="581" spans="1:81" s="866" customFormat="1" ht="12.4" customHeight="1">
      <c r="A581" s="950"/>
      <c r="B581" s="1041"/>
      <c r="C581" s="3027"/>
      <c r="D581" s="3027"/>
      <c r="E581" s="3027"/>
      <c r="F581" s="3027"/>
      <c r="G581" s="3027"/>
      <c r="H581" s="3027"/>
      <c r="I581" s="3027"/>
      <c r="J581" s="3027"/>
      <c r="K581" s="3027"/>
      <c r="L581" s="3027"/>
      <c r="M581" s="3027"/>
      <c r="N581" s="3027"/>
      <c r="O581" s="3027"/>
      <c r="P581" s="3027"/>
      <c r="Q581" s="3027"/>
      <c r="R581" s="3027"/>
      <c r="S581" s="3027"/>
      <c r="T581" s="3027"/>
      <c r="U581" s="3027"/>
      <c r="V581" s="3027"/>
      <c r="W581" s="3027"/>
      <c r="X581" s="3027"/>
      <c r="Y581" s="3027"/>
      <c r="Z581" s="3027"/>
      <c r="AA581" s="3027"/>
      <c r="AB581" s="3027"/>
      <c r="AC581" s="3027"/>
      <c r="AD581" s="3027"/>
      <c r="AE581" s="3027"/>
      <c r="AF581" s="3027"/>
      <c r="AG581" s="3027"/>
      <c r="AH581" s="3027"/>
      <c r="AI581" s="3027"/>
      <c r="AJ581" s="3027"/>
      <c r="AK581" s="950"/>
      <c r="AL581" s="950"/>
      <c r="AM581" s="950"/>
      <c r="AN581" s="923"/>
      <c r="AO581" s="1078" t="s">
        <v>234</v>
      </c>
      <c r="AP581" s="1079">
        <f>SUM(AP572:AP580)</f>
        <v>12</v>
      </c>
      <c r="AQ581" s="3028">
        <f>IF(AP581&gt;0,AP581,0)</f>
        <v>12</v>
      </c>
      <c r="AR581" s="3028"/>
    </row>
    <row r="582" spans="1:81" s="866" customFormat="1" ht="12.75" customHeight="1">
      <c r="A582" s="950"/>
      <c r="B582" s="1041"/>
      <c r="C582" s="3027"/>
      <c r="D582" s="3027"/>
      <c r="E582" s="3027"/>
      <c r="F582" s="3027"/>
      <c r="G582" s="3027"/>
      <c r="H582" s="3027"/>
      <c r="I582" s="3027"/>
      <c r="J582" s="3027"/>
      <c r="K582" s="3027"/>
      <c r="L582" s="3027"/>
      <c r="M582" s="3027"/>
      <c r="N582" s="3027"/>
      <c r="O582" s="3027"/>
      <c r="P582" s="3027"/>
      <c r="Q582" s="3027"/>
      <c r="R582" s="3027"/>
      <c r="S582" s="3027"/>
      <c r="T582" s="3027"/>
      <c r="U582" s="3027"/>
      <c r="V582" s="3027"/>
      <c r="W582" s="3027"/>
      <c r="X582" s="3027"/>
      <c r="Y582" s="3027"/>
      <c r="Z582" s="3027"/>
      <c r="AA582" s="3027"/>
      <c r="AB582" s="3027"/>
      <c r="AC582" s="3027"/>
      <c r="AD582" s="3027"/>
      <c r="AE582" s="3027"/>
      <c r="AF582" s="3027"/>
      <c r="AG582" s="3027"/>
      <c r="AH582" s="3027"/>
      <c r="AI582" s="3027"/>
      <c r="AJ582" s="3027"/>
      <c r="AK582" s="950"/>
      <c r="AL582" s="950"/>
      <c r="AM582" s="950"/>
      <c r="AN582" s="923"/>
      <c r="AO582" s="948"/>
      <c r="AP582" s="1080"/>
    </row>
    <row r="583" spans="1:81" s="866" customFormat="1" ht="12.75" customHeight="1">
      <c r="A583" s="950"/>
      <c r="B583" s="1041"/>
      <c r="C583" s="1071"/>
      <c r="D583" s="1071"/>
      <c r="E583" s="1071"/>
      <c r="F583" s="1071"/>
      <c r="G583" s="1071"/>
      <c r="H583" s="1071"/>
      <c r="I583" s="1071"/>
      <c r="J583" s="1071"/>
      <c r="K583" s="1071"/>
      <c r="L583" s="1071"/>
      <c r="M583" s="1071"/>
      <c r="N583" s="1071"/>
      <c r="O583" s="1071"/>
      <c r="P583" s="1071"/>
      <c r="Q583" s="1071"/>
      <c r="R583" s="1071"/>
      <c r="S583" s="1071"/>
      <c r="T583" s="1071"/>
      <c r="U583" s="1071"/>
      <c r="V583" s="1071"/>
      <c r="W583" s="1071"/>
      <c r="X583" s="1071"/>
      <c r="Y583" s="1071"/>
      <c r="Z583" s="1071"/>
      <c r="AA583" s="1071"/>
      <c r="AB583" s="1071"/>
      <c r="AC583" s="1071"/>
      <c r="AD583" s="1071"/>
      <c r="AE583" s="1071"/>
      <c r="AF583" s="1071"/>
      <c r="AG583" s="1071"/>
      <c r="AH583" s="1071"/>
      <c r="AI583" s="1071"/>
      <c r="AJ583" s="1071"/>
      <c r="AK583" s="950"/>
      <c r="AL583" s="950"/>
      <c r="AM583" s="950"/>
      <c r="AN583" s="923"/>
      <c r="AO583" s="1074" t="s">
        <v>489</v>
      </c>
      <c r="AP583" s="1075">
        <f>IF(C645="Yes",5,0)</f>
        <v>0</v>
      </c>
    </row>
    <row r="584" spans="1:81" s="866" customFormat="1" ht="12.75" customHeight="1">
      <c r="A584" s="950"/>
      <c r="B584" s="1041"/>
      <c r="C584" s="3029" t="s">
        <v>1760</v>
      </c>
      <c r="D584" s="3029"/>
      <c r="E584" s="3029"/>
      <c r="F584" s="3029"/>
      <c r="G584" s="3029"/>
      <c r="H584" s="3029"/>
      <c r="I584" s="3029"/>
      <c r="J584" s="3029"/>
      <c r="K584" s="3029"/>
      <c r="L584" s="3029"/>
      <c r="M584" s="3029"/>
      <c r="N584" s="3029"/>
      <c r="O584" s="3029"/>
      <c r="P584" s="3029"/>
      <c r="Q584" s="3029"/>
      <c r="R584" s="3029"/>
      <c r="S584" s="3029"/>
      <c r="T584" s="3029"/>
      <c r="U584" s="3029"/>
      <c r="V584" s="3029"/>
      <c r="W584" s="3029"/>
      <c r="X584" s="3029"/>
      <c r="Y584" s="3029"/>
      <c r="Z584" s="3029"/>
      <c r="AA584" s="3029"/>
      <c r="AB584" s="3029"/>
      <c r="AC584" s="3029"/>
      <c r="AD584" s="3029"/>
      <c r="AE584" s="3029"/>
      <c r="AF584" s="3029"/>
      <c r="AG584" s="3029"/>
      <c r="AH584" s="3029"/>
      <c r="AI584" s="3029"/>
      <c r="AJ584" s="3029"/>
      <c r="AK584" s="950"/>
      <c r="AL584" s="950"/>
      <c r="AM584" s="950"/>
      <c r="AN584" s="923"/>
      <c r="AO584" s="1074" t="s">
        <v>490</v>
      </c>
      <c r="AP584" s="1075">
        <f>IF(C657="Yes",5,0)</f>
        <v>0</v>
      </c>
    </row>
    <row r="585" spans="1:81" s="866" customFormat="1" ht="12.75" customHeight="1">
      <c r="A585" s="950"/>
      <c r="B585" s="1041"/>
      <c r="C585" s="3029"/>
      <c r="D585" s="3029"/>
      <c r="E585" s="3029"/>
      <c r="F585" s="3029"/>
      <c r="G585" s="3029"/>
      <c r="H585" s="3029"/>
      <c r="I585" s="3029"/>
      <c r="J585" s="3029"/>
      <c r="K585" s="3029"/>
      <c r="L585" s="3029"/>
      <c r="M585" s="3029"/>
      <c r="N585" s="3029"/>
      <c r="O585" s="3029"/>
      <c r="P585" s="3029"/>
      <c r="Q585" s="3029"/>
      <c r="R585" s="3029"/>
      <c r="S585" s="3029"/>
      <c r="T585" s="3029"/>
      <c r="U585" s="3029"/>
      <c r="V585" s="3029"/>
      <c r="W585" s="3029"/>
      <c r="X585" s="3029"/>
      <c r="Y585" s="3029"/>
      <c r="Z585" s="3029"/>
      <c r="AA585" s="3029"/>
      <c r="AB585" s="3029"/>
      <c r="AC585" s="3029"/>
      <c r="AD585" s="3029"/>
      <c r="AE585" s="3029"/>
      <c r="AF585" s="3029"/>
      <c r="AG585" s="3029"/>
      <c r="AH585" s="3029"/>
      <c r="AI585" s="3029"/>
      <c r="AJ585" s="3029"/>
      <c r="AK585" s="950"/>
      <c r="AL585" s="950"/>
      <c r="AM585" s="950"/>
      <c r="AN585" s="923"/>
      <c r="AO585" s="1074" t="s">
        <v>496</v>
      </c>
      <c r="AP585" s="1075">
        <f>IF(C664="Yes",5,0)</f>
        <v>0</v>
      </c>
    </row>
    <row r="586" spans="1:81" s="866" customFormat="1" ht="68.099999999999994" customHeight="1">
      <c r="A586" s="950"/>
      <c r="B586" s="1041"/>
      <c r="C586" s="3029"/>
      <c r="D586" s="3029"/>
      <c r="E586" s="3029"/>
      <c r="F586" s="3029"/>
      <c r="G586" s="3029"/>
      <c r="H586" s="3029"/>
      <c r="I586" s="3029"/>
      <c r="J586" s="3029"/>
      <c r="K586" s="3029"/>
      <c r="L586" s="3029"/>
      <c r="M586" s="3029"/>
      <c r="N586" s="3029"/>
      <c r="O586" s="3029"/>
      <c r="P586" s="3029"/>
      <c r="Q586" s="3029"/>
      <c r="R586" s="3029"/>
      <c r="S586" s="3029"/>
      <c r="T586" s="3029"/>
      <c r="U586" s="3029"/>
      <c r="V586" s="3029"/>
      <c r="W586" s="3029"/>
      <c r="X586" s="3029"/>
      <c r="Y586" s="3029"/>
      <c r="Z586" s="3029"/>
      <c r="AA586" s="3029"/>
      <c r="AB586" s="3029"/>
      <c r="AC586" s="3029"/>
      <c r="AD586" s="3029"/>
      <c r="AE586" s="3029"/>
      <c r="AF586" s="3029"/>
      <c r="AG586" s="3029"/>
      <c r="AH586" s="3029"/>
      <c r="AI586" s="3029"/>
      <c r="AJ586" s="3029"/>
      <c r="AK586" s="950"/>
      <c r="AL586" s="950"/>
      <c r="AM586" s="950"/>
      <c r="AN586" s="923"/>
      <c r="AO586" s="1074" t="s">
        <v>683</v>
      </c>
      <c r="AP586" s="1081">
        <f>IF(C668="Yes",5,0)</f>
        <v>0</v>
      </c>
      <c r="AQ586" s="925"/>
      <c r="AR586" s="925"/>
    </row>
    <row r="587" spans="1:81" s="866" customFormat="1" ht="12.4" customHeight="1">
      <c r="A587" s="950"/>
      <c r="B587" s="1041"/>
      <c r="C587" s="1082" t="s">
        <v>1761</v>
      </c>
      <c r="AF587" s="950"/>
      <c r="AG587" s="950"/>
      <c r="AH587" s="950"/>
      <c r="AI587" s="950"/>
      <c r="AJ587" s="950"/>
      <c r="AK587" s="950"/>
      <c r="AL587" s="950"/>
      <c r="AM587" s="950"/>
      <c r="AN587" s="923"/>
      <c r="AO587" s="1074" t="s">
        <v>374</v>
      </c>
      <c r="AP587" s="1075">
        <f>IF(C672="Yes",5,0)</f>
        <v>0</v>
      </c>
    </row>
    <row r="588" spans="1:81" s="866" customFormat="1" ht="12.75" customHeight="1">
      <c r="A588" s="950"/>
      <c r="B588" s="1041"/>
      <c r="C588" s="1083" t="s">
        <v>1762</v>
      </c>
      <c r="D588" s="1084"/>
      <c r="E588" s="1084"/>
      <c r="F588" s="1084"/>
      <c r="G588" s="1084"/>
      <c r="H588" s="1084"/>
      <c r="I588" s="1084"/>
      <c r="J588" s="1084"/>
      <c r="K588" s="1084"/>
      <c r="L588" s="1084"/>
      <c r="M588" s="1033"/>
      <c r="N588" s="1033"/>
      <c r="O588" s="1085"/>
      <c r="P588" s="1084"/>
      <c r="Q588" s="1084"/>
      <c r="R588" s="1033"/>
      <c r="S588" s="1033"/>
      <c r="T588" s="1084"/>
      <c r="U588" s="3139">
        <f>'Service Amenities Budget'!J10</f>
        <v>157</v>
      </c>
      <c r="V588" s="3139"/>
      <c r="W588" s="3139"/>
      <c r="X588" s="1084"/>
      <c r="Y588" s="1084"/>
      <c r="Z588" s="1084"/>
      <c r="AA588" s="1086"/>
      <c r="AB588" s="1087"/>
      <c r="AC588" s="1087"/>
      <c r="AD588" s="1087"/>
      <c r="AE588" s="950"/>
      <c r="AF588" s="950"/>
      <c r="AG588" s="950"/>
      <c r="AH588" s="950"/>
      <c r="AI588" s="950"/>
      <c r="AJ588" s="950"/>
      <c r="AK588" s="950"/>
      <c r="AL588" s="950"/>
      <c r="AM588" s="950"/>
      <c r="AN588" s="923"/>
      <c r="AO588" s="1074" t="s">
        <v>375</v>
      </c>
      <c r="AP588" s="1075">
        <f>IF(C681="Yes",5,0)</f>
        <v>0</v>
      </c>
    </row>
    <row r="589" spans="1:81" s="866" customFormat="1" ht="12.75" customHeight="1">
      <c r="A589" s="950"/>
      <c r="B589" s="1041"/>
      <c r="C589" s="1088" t="s">
        <v>1763</v>
      </c>
      <c r="D589" s="1089"/>
      <c r="E589" s="1089"/>
      <c r="F589" s="1089"/>
      <c r="G589" s="1089"/>
      <c r="H589" s="1089"/>
      <c r="I589" s="1089"/>
      <c r="J589" s="1089"/>
      <c r="K589" s="1089"/>
      <c r="L589" s="1089"/>
      <c r="M589" s="1073"/>
      <c r="N589" s="1073"/>
      <c r="O589" s="1089"/>
      <c r="P589" s="1089"/>
      <c r="Q589" s="1089"/>
      <c r="R589" s="1089"/>
      <c r="S589" s="1089"/>
      <c r="T589" s="1089"/>
      <c r="U589" s="3140">
        <f>'Service Amenities Budget'!J9</f>
        <v>0</v>
      </c>
      <c r="V589" s="3140"/>
      <c r="W589" s="3140"/>
      <c r="X589" s="1089"/>
      <c r="Y589" s="1089"/>
      <c r="Z589" s="1089"/>
      <c r="AA589" s="1090"/>
      <c r="AB589" s="1082"/>
      <c r="AC589" s="1091"/>
      <c r="AD589" s="1091"/>
      <c r="AE589" s="950"/>
      <c r="AF589" s="950"/>
      <c r="AG589" s="950"/>
      <c r="AH589" s="950"/>
      <c r="AI589" s="950"/>
      <c r="AJ589" s="950"/>
      <c r="AK589" s="950"/>
      <c r="AL589" s="950"/>
      <c r="AM589" s="950"/>
      <c r="AN589" s="923"/>
      <c r="AO589" s="1076"/>
      <c r="AP589" s="1077"/>
    </row>
    <row r="590" spans="1:81" s="866" customFormat="1" ht="12.75" customHeight="1">
      <c r="A590" s="950"/>
      <c r="B590" s="1041"/>
      <c r="C590" s="1139"/>
      <c r="D590" s="1593"/>
      <c r="E590" s="1593"/>
      <c r="F590" s="1593"/>
      <c r="G590" s="1593"/>
      <c r="H590" s="1593"/>
      <c r="I590" s="1593"/>
      <c r="J590" s="1593"/>
      <c r="K590" s="1593"/>
      <c r="L590" s="1593"/>
      <c r="M590" s="948"/>
      <c r="N590" s="948"/>
      <c r="O590" s="1593"/>
      <c r="P590" s="1593"/>
      <c r="Q590" s="1593"/>
      <c r="R590" s="1593"/>
      <c r="S590" s="1593"/>
      <c r="T590" s="1593"/>
      <c r="U590" s="1594"/>
      <c r="V590" s="1594"/>
      <c r="W590" s="1594"/>
      <c r="X590" s="1593"/>
      <c r="Y590" s="1593"/>
      <c r="Z590" s="1593"/>
      <c r="AA590" s="1593"/>
      <c r="AB590" s="1082"/>
      <c r="AC590" s="1091"/>
      <c r="AD590" s="1091"/>
      <c r="AE590" s="950"/>
      <c r="AF590" s="950"/>
      <c r="AG590" s="950"/>
      <c r="AH590" s="950"/>
      <c r="AI590" s="950"/>
      <c r="AJ590" s="950"/>
      <c r="AK590" s="950"/>
      <c r="AL590" s="950"/>
      <c r="AM590" s="950"/>
      <c r="AN590" s="923"/>
      <c r="AO590" s="1092" t="s">
        <v>234</v>
      </c>
      <c r="AP590" s="1093">
        <f>SUM(AP583:AP588)</f>
        <v>0</v>
      </c>
      <c r="AQ590" s="3028">
        <f>IF(AP590&gt;0,AP590,0)</f>
        <v>0</v>
      </c>
      <c r="AR590" s="3028"/>
    </row>
    <row r="591" spans="1:81" s="866" customFormat="1" ht="12.75" customHeight="1">
      <c r="A591" s="950"/>
      <c r="B591" s="51"/>
      <c r="C591" s="1094" t="s">
        <v>1764</v>
      </c>
      <c r="D591" s="950"/>
      <c r="E591" s="950"/>
      <c r="F591" s="950"/>
      <c r="G591" s="950"/>
      <c r="H591" s="950"/>
      <c r="I591" s="950"/>
      <c r="J591" s="950"/>
      <c r="K591" s="950"/>
      <c r="L591" s="950"/>
      <c r="M591" s="950"/>
      <c r="N591" s="950"/>
      <c r="O591" s="950"/>
      <c r="P591" s="950"/>
      <c r="Q591" s="950"/>
      <c r="R591" s="950"/>
      <c r="S591" s="950"/>
      <c r="T591" s="950"/>
      <c r="U591" s="950"/>
      <c r="V591" s="950"/>
      <c r="W591" s="950"/>
      <c r="X591" s="950"/>
      <c r="Y591" s="950"/>
      <c r="Z591" s="950"/>
      <c r="AA591" s="950"/>
      <c r="AB591" s="950"/>
      <c r="AC591" s="950"/>
      <c r="AD591" s="950"/>
      <c r="AE591" s="950"/>
      <c r="AF591" s="950"/>
      <c r="AG591" s="950"/>
      <c r="AH591" s="950"/>
      <c r="AI591" s="950"/>
      <c r="AJ591" s="950"/>
      <c r="AK591" s="950"/>
      <c r="AL591" s="950"/>
      <c r="AM591" s="950"/>
      <c r="AN591" s="923"/>
      <c r="AO591" s="948"/>
      <c r="AP591" s="948"/>
      <c r="BS591" s="126"/>
      <c r="BT591" s="126"/>
      <c r="BU591" s="51"/>
      <c r="BV591" s="51"/>
      <c r="BW591" s="51"/>
    </row>
    <row r="592" spans="1:81" s="866" customFormat="1" ht="12.75" customHeight="1">
      <c r="A592" s="850"/>
      <c r="B592" s="51"/>
      <c r="C592" s="1095"/>
      <c r="D592" s="1096"/>
      <c r="E592" s="1097" t="s">
        <v>1601</v>
      </c>
      <c r="F592" s="3033" t="s">
        <v>1765</v>
      </c>
      <c r="G592" s="3033"/>
      <c r="H592" s="3033"/>
      <c r="I592" s="3033"/>
      <c r="J592" s="3033"/>
      <c r="K592" s="3033"/>
      <c r="L592" s="3033"/>
      <c r="M592" s="3033"/>
      <c r="N592" s="3033"/>
      <c r="O592" s="3033"/>
      <c r="P592" s="3033"/>
      <c r="Q592" s="3033"/>
      <c r="R592" s="3033"/>
      <c r="S592" s="3033"/>
      <c r="T592" s="3033"/>
      <c r="U592" s="3033"/>
      <c r="V592" s="3033"/>
      <c r="W592" s="3033"/>
      <c r="X592" s="3033"/>
      <c r="Y592" s="3033"/>
      <c r="Z592" s="3033"/>
      <c r="AA592" s="3033"/>
      <c r="AB592" s="3033"/>
      <c r="AC592" s="3033"/>
      <c r="AD592" s="3033"/>
      <c r="AE592" s="3033"/>
      <c r="AF592" s="3033"/>
      <c r="AG592" s="1098"/>
      <c r="AH592" s="1098"/>
      <c r="AI592" s="1098"/>
      <c r="AJ592" s="1098"/>
      <c r="AK592" s="1098"/>
      <c r="AL592" s="1099"/>
      <c r="AM592" s="1057"/>
      <c r="AN592" s="923"/>
      <c r="AO592" s="948"/>
      <c r="AP592" s="1080"/>
      <c r="BS592" s="126"/>
      <c r="BT592" s="126"/>
      <c r="BU592" s="51"/>
      <c r="BV592" s="51"/>
      <c r="BW592" s="51"/>
      <c r="BX592" s="51"/>
      <c r="BY592" s="51"/>
      <c r="BZ592" s="51"/>
      <c r="CA592" s="51"/>
      <c r="CB592" s="51"/>
      <c r="CC592" s="51"/>
    </row>
    <row r="593" spans="1:81" s="866" customFormat="1" ht="12.75" customHeight="1">
      <c r="A593" s="850"/>
      <c r="B593" s="51"/>
      <c r="C593" s="1100"/>
      <c r="D593" s="914"/>
      <c r="E593" s="1101"/>
      <c r="F593" s="3034"/>
      <c r="G593" s="3034"/>
      <c r="H593" s="3034"/>
      <c r="I593" s="3034"/>
      <c r="J593" s="3034"/>
      <c r="K593" s="3034"/>
      <c r="L593" s="3034"/>
      <c r="M593" s="3034"/>
      <c r="N593" s="3034"/>
      <c r="O593" s="3034"/>
      <c r="P593" s="3034"/>
      <c r="Q593" s="3034"/>
      <c r="R593" s="3034"/>
      <c r="S593" s="3034"/>
      <c r="T593" s="3034"/>
      <c r="U593" s="3034"/>
      <c r="V593" s="3034"/>
      <c r="W593" s="3034"/>
      <c r="X593" s="3034"/>
      <c r="Y593" s="3034"/>
      <c r="Z593" s="3034"/>
      <c r="AA593" s="3034"/>
      <c r="AB593" s="3034"/>
      <c r="AC593" s="3034"/>
      <c r="AD593" s="3034"/>
      <c r="AE593" s="3034"/>
      <c r="AF593" s="3034"/>
      <c r="AG593" s="1102"/>
      <c r="AH593" s="1102"/>
      <c r="AI593" s="1102"/>
      <c r="AJ593" s="1102"/>
      <c r="AK593" s="1102"/>
      <c r="AL593" s="1521"/>
      <c r="AM593" s="1057"/>
      <c r="AN593" s="923"/>
      <c r="AO593" s="948"/>
      <c r="AP593" s="1080"/>
      <c r="BS593" s="126"/>
      <c r="BT593" s="126"/>
      <c r="BU593" s="51"/>
      <c r="BV593" s="51"/>
      <c r="BW593" s="51"/>
      <c r="BX593" s="51"/>
      <c r="BY593" s="51"/>
      <c r="BZ593" s="51"/>
      <c r="CA593" s="51"/>
      <c r="CB593" s="51"/>
      <c r="CC593" s="51"/>
    </row>
    <row r="594" spans="1:81" s="866" customFormat="1" ht="12.75" customHeight="1">
      <c r="A594" s="850"/>
      <c r="B594" s="51"/>
      <c r="C594" s="1100"/>
      <c r="D594" s="914"/>
      <c r="E594" s="1101"/>
      <c r="F594" s="3034"/>
      <c r="G594" s="3034"/>
      <c r="H594" s="3034"/>
      <c r="I594" s="3034"/>
      <c r="J594" s="3034"/>
      <c r="K594" s="3034"/>
      <c r="L594" s="3034"/>
      <c r="M594" s="3034"/>
      <c r="N594" s="3034"/>
      <c r="O594" s="3034"/>
      <c r="P594" s="3034"/>
      <c r="Q594" s="3034"/>
      <c r="R594" s="3034"/>
      <c r="S594" s="3034"/>
      <c r="T594" s="3034"/>
      <c r="U594" s="3034"/>
      <c r="V594" s="3034"/>
      <c r="W594" s="3034"/>
      <c r="X594" s="3034"/>
      <c r="Y594" s="3034"/>
      <c r="Z594" s="3034"/>
      <c r="AA594" s="3034"/>
      <c r="AB594" s="3034"/>
      <c r="AC594" s="3034"/>
      <c r="AD594" s="3034"/>
      <c r="AE594" s="3034"/>
      <c r="AF594" s="3034"/>
      <c r="AG594" s="1102"/>
      <c r="AH594" s="1102"/>
      <c r="AI594" s="1102"/>
      <c r="AJ594" s="1102"/>
      <c r="AK594" s="1102"/>
      <c r="AL594" s="1521"/>
      <c r="AM594" s="1057"/>
      <c r="AN594" s="923"/>
      <c r="AO594" s="948"/>
      <c r="AP594" s="948"/>
      <c r="BS594" s="126"/>
      <c r="BT594" s="126"/>
      <c r="BU594" s="51"/>
      <c r="BV594" s="51"/>
      <c r="BW594" s="51"/>
      <c r="BX594" s="51"/>
      <c r="BY594" s="51"/>
      <c r="BZ594" s="51"/>
      <c r="CA594" s="51"/>
      <c r="CB594" s="51"/>
      <c r="CC594" s="51"/>
    </row>
    <row r="595" spans="1:81" s="866" customFormat="1" ht="12.75" customHeight="1">
      <c r="A595" s="850"/>
      <c r="B595" s="51"/>
      <c r="C595" s="1100"/>
      <c r="D595" s="914"/>
      <c r="E595" s="1101"/>
      <c r="F595" s="3034"/>
      <c r="G595" s="3034"/>
      <c r="H595" s="3034"/>
      <c r="I595" s="3034"/>
      <c r="J595" s="3034"/>
      <c r="K595" s="3034"/>
      <c r="L595" s="3034"/>
      <c r="M595" s="3034"/>
      <c r="N595" s="3034"/>
      <c r="O595" s="3034"/>
      <c r="P595" s="3034"/>
      <c r="Q595" s="3034"/>
      <c r="R595" s="3034"/>
      <c r="S595" s="3034"/>
      <c r="T595" s="3034"/>
      <c r="U595" s="3034"/>
      <c r="V595" s="3034"/>
      <c r="W595" s="3034"/>
      <c r="X595" s="3034"/>
      <c r="Y595" s="3034"/>
      <c r="Z595" s="3034"/>
      <c r="AA595" s="3034"/>
      <c r="AB595" s="3034"/>
      <c r="AC595" s="3034"/>
      <c r="AD595" s="3034"/>
      <c r="AE595" s="3034"/>
      <c r="AF595" s="3034"/>
      <c r="AG595" s="1102"/>
      <c r="AH595" s="1102"/>
      <c r="AI595" s="1102"/>
      <c r="AJ595" s="1102"/>
      <c r="AK595" s="1102"/>
      <c r="AL595" s="1521"/>
      <c r="AM595" s="1057"/>
      <c r="AN595" s="923"/>
      <c r="AO595" s="948"/>
      <c r="AP595" s="948"/>
      <c r="BS595" s="126"/>
      <c r="BT595" s="126"/>
      <c r="BU595" s="51"/>
      <c r="BV595" s="51"/>
      <c r="BW595" s="51"/>
      <c r="BX595" s="51"/>
      <c r="BY595" s="51"/>
      <c r="BZ595" s="51"/>
      <c r="CA595" s="51"/>
      <c r="CB595" s="51"/>
      <c r="CC595" s="51"/>
    </row>
    <row r="596" spans="1:81" s="866" customFormat="1" ht="12.75" customHeight="1">
      <c r="A596" s="850"/>
      <c r="B596" s="51"/>
      <c r="C596" s="3030" t="s">
        <v>628</v>
      </c>
      <c r="D596" s="2972"/>
      <c r="E596" s="1101"/>
      <c r="F596" s="1104" t="s">
        <v>1766</v>
      </c>
      <c r="G596" s="1105"/>
      <c r="H596" s="1105"/>
      <c r="I596" s="1105"/>
      <c r="J596" s="1105"/>
      <c r="K596" s="1105"/>
      <c r="L596" s="1105"/>
      <c r="M596" s="1105"/>
      <c r="N596" s="1105"/>
      <c r="O596" s="1105"/>
      <c r="P596" s="1105"/>
      <c r="Q596" s="1105"/>
      <c r="R596" s="1105"/>
      <c r="S596" s="1105"/>
      <c r="T596" s="1105"/>
      <c r="U596" s="1105"/>
      <c r="V596" s="1105"/>
      <c r="W596" s="1105"/>
      <c r="X596" s="1105"/>
      <c r="Y596" s="1105"/>
      <c r="Z596" s="1105"/>
      <c r="AA596" s="1105"/>
      <c r="AB596" s="1105"/>
      <c r="AC596" s="1105"/>
      <c r="AD596" s="1105"/>
      <c r="AE596" s="948"/>
      <c r="AF596" s="3031" t="s">
        <v>1767</v>
      </c>
      <c r="AG596" s="3031"/>
      <c r="AH596" s="3031"/>
      <c r="AI596" s="3031"/>
      <c r="AJ596" s="3031"/>
      <c r="AK596" s="3031"/>
      <c r="AL596" s="3032"/>
      <c r="AM596" s="1106"/>
      <c r="BS596" s="126"/>
      <c r="BT596" s="126"/>
      <c r="BU596" s="51"/>
      <c r="BV596" s="51"/>
      <c r="BW596" s="51"/>
      <c r="BX596" s="51"/>
      <c r="BY596" s="51"/>
      <c r="BZ596" s="51"/>
      <c r="CA596" s="51"/>
      <c r="CB596" s="51"/>
      <c r="CC596" s="51"/>
    </row>
    <row r="597" spans="1:81" s="866" customFormat="1" ht="12.75" customHeight="1">
      <c r="A597" s="850"/>
      <c r="B597" s="56"/>
      <c r="C597" s="1159"/>
      <c r="D597" s="1107"/>
      <c r="E597" s="1108"/>
      <c r="F597" s="1109"/>
      <c r="G597" s="1110"/>
      <c r="H597" s="1110"/>
      <c r="I597" s="1110"/>
      <c r="J597" s="1110"/>
      <c r="K597" s="1110"/>
      <c r="L597" s="1110"/>
      <c r="M597" s="1110"/>
      <c r="N597" s="1110"/>
      <c r="O597" s="1110"/>
      <c r="P597" s="1110"/>
      <c r="Q597" s="1110"/>
      <c r="R597" s="1110"/>
      <c r="S597" s="1110"/>
      <c r="T597" s="1110"/>
      <c r="U597" s="1110"/>
      <c r="V597" s="1110"/>
      <c r="W597" s="1110"/>
      <c r="X597" s="1110"/>
      <c r="Y597" s="1110"/>
      <c r="Z597" s="1110"/>
      <c r="AA597" s="1110"/>
      <c r="AB597" s="1110"/>
      <c r="AC597" s="1110"/>
      <c r="AD597" s="1110"/>
      <c r="AE597" s="1111"/>
      <c r="AF597" s="1111"/>
      <c r="AG597" s="1111"/>
      <c r="AH597" s="1111"/>
      <c r="AI597" s="1111"/>
      <c r="AJ597" s="1111"/>
      <c r="AK597" s="1111"/>
      <c r="AL597" s="1160"/>
      <c r="AM597" s="1113"/>
      <c r="AN597" s="923"/>
      <c r="CC597" s="51"/>
    </row>
    <row r="598" spans="1:81" s="866" customFormat="1" ht="12.75" customHeight="1">
      <c r="A598" s="850"/>
      <c r="B598" s="51"/>
      <c r="C598" s="1114"/>
      <c r="D598" s="1114"/>
      <c r="E598" s="1101"/>
      <c r="F598" s="1046"/>
      <c r="G598" s="1046"/>
      <c r="H598" s="1046"/>
      <c r="I598" s="1046"/>
      <c r="J598" s="1046"/>
      <c r="K598" s="1046"/>
      <c r="L598" s="1046"/>
      <c r="M598" s="1046"/>
      <c r="N598" s="1046"/>
      <c r="O598" s="1046"/>
      <c r="P598" s="1046"/>
      <c r="Q598" s="1046"/>
      <c r="R598" s="1046"/>
      <c r="S598" s="1046"/>
      <c r="T598" s="1046"/>
      <c r="U598" s="1046"/>
      <c r="V598" s="1046"/>
      <c r="W598" s="1046"/>
      <c r="X598" s="1046"/>
      <c r="Y598" s="1046"/>
      <c r="Z598" s="1046"/>
      <c r="AA598" s="1046"/>
      <c r="AB598" s="1046"/>
      <c r="AC598" s="1046"/>
      <c r="AD598" s="1046"/>
      <c r="AE598" s="908"/>
      <c r="AF598" s="908"/>
      <c r="AG598" s="908"/>
      <c r="AH598" s="908"/>
      <c r="AI598" s="908"/>
      <c r="AJ598" s="908"/>
      <c r="AK598" s="908"/>
      <c r="AL598" s="908"/>
      <c r="AM598" s="1057"/>
      <c r="AN598" s="923"/>
      <c r="BS598" s="126"/>
      <c r="BT598" s="126"/>
      <c r="BU598" s="51"/>
      <c r="BV598" s="51"/>
      <c r="BW598" s="51"/>
      <c r="BX598" s="51"/>
      <c r="BY598" s="51"/>
      <c r="BZ598" s="51"/>
      <c r="CA598" s="51"/>
      <c r="CB598" s="51"/>
      <c r="CC598" s="51"/>
    </row>
    <row r="599" spans="1:81" s="866" customFormat="1" ht="12.75" customHeight="1">
      <c r="A599" s="850"/>
      <c r="B599" s="51"/>
      <c r="C599" s="1095"/>
      <c r="D599" s="1096"/>
      <c r="E599" s="1097" t="s">
        <v>1603</v>
      </c>
      <c r="F599" s="3033" t="s">
        <v>1768</v>
      </c>
      <c r="G599" s="3033"/>
      <c r="H599" s="3033"/>
      <c r="I599" s="3033"/>
      <c r="J599" s="3033"/>
      <c r="K599" s="3033"/>
      <c r="L599" s="3033"/>
      <c r="M599" s="3033"/>
      <c r="N599" s="3033"/>
      <c r="O599" s="3033"/>
      <c r="P599" s="3033"/>
      <c r="Q599" s="3033"/>
      <c r="R599" s="3033"/>
      <c r="S599" s="3033"/>
      <c r="T599" s="3033"/>
      <c r="U599" s="3033"/>
      <c r="V599" s="3033"/>
      <c r="W599" s="3033"/>
      <c r="X599" s="3033"/>
      <c r="Y599" s="3033"/>
      <c r="Z599" s="3033"/>
      <c r="AA599" s="3033"/>
      <c r="AB599" s="3033"/>
      <c r="AC599" s="3033"/>
      <c r="AD599" s="3033"/>
      <c r="AE599" s="3033"/>
      <c r="AF599" s="3033"/>
      <c r="AG599" s="1098"/>
      <c r="AH599" s="1098"/>
      <c r="AI599" s="1098"/>
      <c r="AJ599" s="1098"/>
      <c r="AK599" s="1098"/>
      <c r="AL599" s="1099"/>
      <c r="AM599" s="1057"/>
      <c r="AN599" s="923"/>
      <c r="BS599" s="126"/>
      <c r="BT599" s="126"/>
      <c r="BU599" s="51"/>
      <c r="BV599" s="51"/>
      <c r="BW599" s="51"/>
      <c r="BX599" s="51"/>
      <c r="BY599" s="51"/>
      <c r="BZ599" s="51"/>
      <c r="CA599" s="51"/>
      <c r="CB599" s="51"/>
      <c r="CC599" s="51"/>
    </row>
    <row r="600" spans="1:81" s="866" customFormat="1" ht="12.75" customHeight="1">
      <c r="A600" s="850"/>
      <c r="B600" s="51"/>
      <c r="C600" s="1115"/>
      <c r="D600" s="112"/>
      <c r="E600" s="1069"/>
      <c r="F600" s="3034"/>
      <c r="G600" s="3034"/>
      <c r="H600" s="3034"/>
      <c r="I600" s="3034"/>
      <c r="J600" s="3034"/>
      <c r="K600" s="3034"/>
      <c r="L600" s="3034"/>
      <c r="M600" s="3034"/>
      <c r="N600" s="3034"/>
      <c r="O600" s="3034"/>
      <c r="P600" s="3034"/>
      <c r="Q600" s="3034"/>
      <c r="R600" s="3034"/>
      <c r="S600" s="3034"/>
      <c r="T600" s="3034"/>
      <c r="U600" s="3034"/>
      <c r="V600" s="3034"/>
      <c r="W600" s="3034"/>
      <c r="X600" s="3034"/>
      <c r="Y600" s="3034"/>
      <c r="Z600" s="3034"/>
      <c r="AA600" s="3034"/>
      <c r="AB600" s="3034"/>
      <c r="AC600" s="3034"/>
      <c r="AD600" s="3034"/>
      <c r="AE600" s="3034"/>
      <c r="AF600" s="3034"/>
      <c r="AG600" s="1102"/>
      <c r="AH600" s="1102"/>
      <c r="AI600" s="1102"/>
      <c r="AJ600" s="1102"/>
      <c r="AK600" s="1102"/>
      <c r="AL600" s="1521"/>
      <c r="AM600" s="1057"/>
      <c r="AN600" s="923"/>
      <c r="BS600" s="126"/>
      <c r="BT600" s="126"/>
      <c r="BU600" s="51"/>
      <c r="BV600" s="51"/>
      <c r="BW600" s="51"/>
      <c r="BX600" s="51"/>
      <c r="BY600" s="51"/>
      <c r="BZ600" s="51"/>
      <c r="CA600" s="51"/>
      <c r="CB600" s="51"/>
      <c r="CC600" s="51"/>
    </row>
    <row r="601" spans="1:81" s="866" customFormat="1" ht="12.75" customHeight="1">
      <c r="A601" s="850"/>
      <c r="B601" s="51"/>
      <c r="C601" s="1115"/>
      <c r="D601" s="112"/>
      <c r="E601" s="1069"/>
      <c r="F601" s="3034"/>
      <c r="G601" s="3034"/>
      <c r="H601" s="3034"/>
      <c r="I601" s="3034"/>
      <c r="J601" s="3034"/>
      <c r="K601" s="3034"/>
      <c r="L601" s="3034"/>
      <c r="M601" s="3034"/>
      <c r="N601" s="3034"/>
      <c r="O601" s="3034"/>
      <c r="P601" s="3034"/>
      <c r="Q601" s="3034"/>
      <c r="R601" s="3034"/>
      <c r="S601" s="3034"/>
      <c r="T601" s="3034"/>
      <c r="U601" s="3034"/>
      <c r="V601" s="3034"/>
      <c r="W601" s="3034"/>
      <c r="X601" s="3034"/>
      <c r="Y601" s="3034"/>
      <c r="Z601" s="3034"/>
      <c r="AA601" s="3034"/>
      <c r="AB601" s="3034"/>
      <c r="AC601" s="3034"/>
      <c r="AD601" s="3034"/>
      <c r="AE601" s="3034"/>
      <c r="AF601" s="3034"/>
      <c r="AG601" s="1102"/>
      <c r="AH601" s="1102"/>
      <c r="AI601" s="1102"/>
      <c r="AJ601" s="1102"/>
      <c r="AK601" s="1102"/>
      <c r="AL601" s="1521"/>
      <c r="AM601" s="1057"/>
      <c r="AN601" s="923"/>
      <c r="BS601" s="126"/>
      <c r="BT601" s="126"/>
      <c r="BU601" s="51"/>
      <c r="BV601" s="51"/>
      <c r="BW601" s="51"/>
      <c r="BX601" s="51"/>
      <c r="BY601" s="51"/>
      <c r="BZ601" s="51"/>
      <c r="CA601" s="51"/>
      <c r="CB601" s="51"/>
      <c r="CC601" s="51"/>
    </row>
    <row r="602" spans="1:81" s="866" customFormat="1" ht="12.75" customHeight="1">
      <c r="A602" s="850"/>
      <c r="B602" s="51"/>
      <c r="C602" s="1115"/>
      <c r="D602" s="112"/>
      <c r="E602" s="1069"/>
      <c r="F602" s="3034"/>
      <c r="G602" s="3034"/>
      <c r="H602" s="3034"/>
      <c r="I602" s="3034"/>
      <c r="J602" s="3034"/>
      <c r="K602" s="3034"/>
      <c r="L602" s="3034"/>
      <c r="M602" s="3034"/>
      <c r="N602" s="3034"/>
      <c r="O602" s="3034"/>
      <c r="P602" s="3034"/>
      <c r="Q602" s="3034"/>
      <c r="R602" s="3034"/>
      <c r="S602" s="3034"/>
      <c r="T602" s="3034"/>
      <c r="U602" s="3034"/>
      <c r="V602" s="3034"/>
      <c r="W602" s="3034"/>
      <c r="X602" s="3034"/>
      <c r="Y602" s="3034"/>
      <c r="Z602" s="3034"/>
      <c r="AA602" s="3034"/>
      <c r="AB602" s="3034"/>
      <c r="AC602" s="3034"/>
      <c r="AD602" s="3034"/>
      <c r="AE602" s="3034"/>
      <c r="AF602" s="3034"/>
      <c r="AG602" s="1102"/>
      <c r="AH602" s="1102"/>
      <c r="AI602" s="1102"/>
      <c r="AJ602" s="1102"/>
      <c r="AK602" s="1102"/>
      <c r="AL602" s="1521"/>
      <c r="AM602" s="1057"/>
      <c r="AN602" s="923"/>
      <c r="BS602" s="126"/>
      <c r="BT602" s="126"/>
      <c r="BU602" s="51"/>
      <c r="BV602" s="51"/>
      <c r="BW602" s="51"/>
      <c r="BX602" s="51"/>
      <c r="BY602" s="51"/>
      <c r="BZ602" s="51"/>
      <c r="CA602" s="51"/>
      <c r="CB602" s="51"/>
      <c r="CC602" s="51"/>
    </row>
    <row r="603" spans="1:81" s="866" customFormat="1" ht="12.75" customHeight="1">
      <c r="A603" s="850"/>
      <c r="B603" s="51"/>
      <c r="C603" s="1115"/>
      <c r="D603" s="112"/>
      <c r="E603" s="1069"/>
      <c r="F603" s="3034"/>
      <c r="G603" s="3034"/>
      <c r="H603" s="3034"/>
      <c r="I603" s="3034"/>
      <c r="J603" s="3034"/>
      <c r="K603" s="3034"/>
      <c r="L603" s="3034"/>
      <c r="M603" s="3034"/>
      <c r="N603" s="3034"/>
      <c r="O603" s="3034"/>
      <c r="P603" s="3034"/>
      <c r="Q603" s="3034"/>
      <c r="R603" s="3034"/>
      <c r="S603" s="3034"/>
      <c r="T603" s="3034"/>
      <c r="U603" s="3034"/>
      <c r="V603" s="3034"/>
      <c r="W603" s="3034"/>
      <c r="X603" s="3034"/>
      <c r="Y603" s="3034"/>
      <c r="Z603" s="3034"/>
      <c r="AA603" s="3034"/>
      <c r="AB603" s="3034"/>
      <c r="AC603" s="3034"/>
      <c r="AD603" s="3034"/>
      <c r="AE603" s="3034"/>
      <c r="AF603" s="3034"/>
      <c r="AG603" s="948"/>
      <c r="AH603" s="948"/>
      <c r="AI603" s="948"/>
      <c r="AJ603" s="948"/>
      <c r="AK603" s="948"/>
      <c r="AL603" s="1116"/>
      <c r="AN603" s="923"/>
      <c r="BS603" s="126"/>
      <c r="BT603" s="126"/>
      <c r="BU603" s="51"/>
      <c r="BV603" s="51"/>
      <c r="BW603" s="51"/>
      <c r="BX603" s="51"/>
      <c r="BY603" s="51"/>
      <c r="BZ603" s="51"/>
      <c r="CA603" s="51"/>
      <c r="CB603" s="51"/>
      <c r="CC603" s="51"/>
    </row>
    <row r="604" spans="1:81" s="866" customFormat="1" ht="12.75" customHeight="1">
      <c r="A604" s="914"/>
      <c r="B604" s="112"/>
      <c r="C604" s="3030" t="s">
        <v>628</v>
      </c>
      <c r="D604" s="2972"/>
      <c r="E604" s="1069"/>
      <c r="F604" s="1104" t="s">
        <v>1769</v>
      </c>
      <c r="G604" s="1105"/>
      <c r="H604" s="1105"/>
      <c r="I604" s="1105"/>
      <c r="J604" s="1105"/>
      <c r="K604" s="1105"/>
      <c r="L604" s="1105"/>
      <c r="M604" s="1105"/>
      <c r="N604" s="1105"/>
      <c r="O604" s="1105"/>
      <c r="P604" s="1105"/>
      <c r="Q604" s="1105"/>
      <c r="R604" s="1105"/>
      <c r="S604" s="1105"/>
      <c r="T604" s="1105"/>
      <c r="U604" s="1105"/>
      <c r="V604" s="1105"/>
      <c r="W604" s="1105"/>
      <c r="X604" s="1105"/>
      <c r="Y604" s="1105"/>
      <c r="Z604" s="1105"/>
      <c r="AA604" s="1105"/>
      <c r="AB604" s="1105"/>
      <c r="AC604" s="1105"/>
      <c r="AD604" s="1105"/>
      <c r="AE604" s="948"/>
      <c r="AF604" s="3031" t="s">
        <v>1767</v>
      </c>
      <c r="AG604" s="3031"/>
      <c r="AH604" s="3031"/>
      <c r="AI604" s="3031"/>
      <c r="AJ604" s="3031"/>
      <c r="AK604" s="3031"/>
      <c r="AL604" s="3032"/>
      <c r="AM604" s="1113"/>
      <c r="AN604" s="923"/>
      <c r="BS604" s="126"/>
      <c r="BT604" s="126"/>
      <c r="BU604" s="51"/>
      <c r="BV604" s="51"/>
      <c r="BW604" s="51"/>
      <c r="BX604" s="51"/>
      <c r="BY604" s="51"/>
      <c r="BZ604" s="51"/>
      <c r="CA604" s="51"/>
      <c r="CB604" s="51"/>
      <c r="CC604" s="51"/>
    </row>
    <row r="605" spans="1:81" s="866" customFormat="1" ht="12.75" customHeight="1">
      <c r="A605" s="914"/>
      <c r="B605" s="112"/>
      <c r="C605" s="1125"/>
      <c r="D605" s="1117"/>
      <c r="E605" s="1118"/>
      <c r="F605" s="1119"/>
      <c r="G605" s="1120"/>
      <c r="H605" s="1120"/>
      <c r="I605" s="1120"/>
      <c r="J605" s="1120"/>
      <c r="K605" s="1120"/>
      <c r="L605" s="1120"/>
      <c r="M605" s="1120"/>
      <c r="N605" s="1120"/>
      <c r="O605" s="1120"/>
      <c r="P605" s="1120"/>
      <c r="Q605" s="1120"/>
      <c r="R605" s="1120"/>
      <c r="S605" s="1120"/>
      <c r="T605" s="1120"/>
      <c r="U605" s="1120"/>
      <c r="V605" s="1120"/>
      <c r="W605" s="1120"/>
      <c r="X605" s="1120"/>
      <c r="Y605" s="1120"/>
      <c r="Z605" s="1120"/>
      <c r="AA605" s="1120"/>
      <c r="AB605" s="1120"/>
      <c r="AC605" s="1120"/>
      <c r="AD605" s="1120"/>
      <c r="AE605" s="1121"/>
      <c r="AF605" s="900"/>
      <c r="AG605" s="1121"/>
      <c r="AH605" s="1111"/>
      <c r="AI605" s="1111"/>
      <c r="AJ605" s="1111"/>
      <c r="AK605" s="1111"/>
      <c r="AL605" s="1127"/>
      <c r="AM605" s="1113"/>
      <c r="AN605" s="923"/>
      <c r="BS605" s="126"/>
      <c r="BT605" s="126"/>
      <c r="BU605" s="51"/>
      <c r="BV605" s="51"/>
      <c r="BW605" s="51"/>
      <c r="BX605" s="51"/>
      <c r="BY605" s="51"/>
      <c r="BZ605" s="51"/>
      <c r="CA605" s="51"/>
      <c r="CB605" s="51"/>
      <c r="CC605" s="51"/>
    </row>
    <row r="606" spans="1:81" s="866" customFormat="1" ht="12.75" customHeight="1">
      <c r="A606" s="850"/>
      <c r="B606" s="51"/>
      <c r="C606" s="51"/>
      <c r="D606" s="51"/>
      <c r="E606" s="1069"/>
      <c r="F606" s="1046"/>
      <c r="G606" s="1046"/>
      <c r="H606" s="1046"/>
      <c r="I606" s="1046"/>
      <c r="J606" s="1046"/>
      <c r="K606" s="1046"/>
      <c r="L606" s="1046"/>
      <c r="M606" s="1046"/>
      <c r="N606" s="1046"/>
      <c r="O606" s="1046"/>
      <c r="P606" s="1046"/>
      <c r="Q606" s="1046"/>
      <c r="R606" s="1046"/>
      <c r="S606" s="1046"/>
      <c r="T606" s="1046"/>
      <c r="U606" s="1046"/>
      <c r="V606" s="1046"/>
      <c r="W606" s="1046"/>
      <c r="X606" s="1046"/>
      <c r="Y606" s="1046"/>
      <c r="Z606" s="1046"/>
      <c r="AA606" s="1046"/>
      <c r="AB606" s="1046"/>
      <c r="AC606" s="1046"/>
      <c r="AD606" s="1046"/>
      <c r="AE606" s="850"/>
      <c r="AF606" s="855"/>
      <c r="AG606" s="850"/>
      <c r="AM606" s="1057"/>
      <c r="AN606" s="923"/>
      <c r="BS606" s="126"/>
      <c r="BT606" s="126"/>
      <c r="BU606" s="51"/>
      <c r="BV606" s="51"/>
      <c r="BW606" s="51"/>
      <c r="BX606" s="51"/>
      <c r="BY606" s="51"/>
      <c r="BZ606" s="51"/>
      <c r="CA606" s="51"/>
      <c r="CB606" s="51"/>
      <c r="CC606" s="51"/>
    </row>
    <row r="607" spans="1:81" s="866" customFormat="1" ht="12.75" customHeight="1">
      <c r="A607" s="850"/>
      <c r="B607" s="51"/>
      <c r="C607" s="1095"/>
      <c r="D607" s="1096"/>
      <c r="E607" s="1097" t="s">
        <v>1606</v>
      </c>
      <c r="F607" s="3033" t="s">
        <v>1770</v>
      </c>
      <c r="G607" s="3033"/>
      <c r="H607" s="3033"/>
      <c r="I607" s="3033"/>
      <c r="J607" s="3033"/>
      <c r="K607" s="3033"/>
      <c r="L607" s="3033"/>
      <c r="M607" s="3033"/>
      <c r="N607" s="3033"/>
      <c r="O607" s="3033"/>
      <c r="P607" s="3033"/>
      <c r="Q607" s="3033"/>
      <c r="R607" s="3033"/>
      <c r="S607" s="3033"/>
      <c r="T607" s="3033"/>
      <c r="U607" s="3033"/>
      <c r="V607" s="3033"/>
      <c r="W607" s="3033"/>
      <c r="X607" s="3033"/>
      <c r="Y607" s="3033"/>
      <c r="Z607" s="3033"/>
      <c r="AA607" s="3033"/>
      <c r="AB607" s="3033"/>
      <c r="AC607" s="3033"/>
      <c r="AD607" s="3033"/>
      <c r="AE607" s="3033"/>
      <c r="AF607" s="3033"/>
      <c r="AG607" s="1098"/>
      <c r="AH607" s="1098"/>
      <c r="AI607" s="1098"/>
      <c r="AJ607" s="1098"/>
      <c r="AK607" s="1098"/>
      <c r="AL607" s="1099"/>
      <c r="AM607" s="1057"/>
      <c r="AN607" s="923"/>
      <c r="BS607" s="1057"/>
      <c r="BT607" s="1057"/>
      <c r="BU607" s="1057"/>
      <c r="BV607" s="1057"/>
      <c r="BW607" s="1057"/>
      <c r="BX607" s="1057"/>
      <c r="BY607" s="1057"/>
      <c r="BZ607" s="1057"/>
      <c r="CA607" s="1057"/>
      <c r="CB607" s="1057"/>
      <c r="CC607" s="1057"/>
    </row>
    <row r="608" spans="1:81" s="866" customFormat="1" ht="12.75" customHeight="1">
      <c r="A608" s="850"/>
      <c r="B608" s="51"/>
      <c r="C608" s="1115"/>
      <c r="D608" s="112"/>
      <c r="E608" s="1069"/>
      <c r="F608" s="3034"/>
      <c r="G608" s="3034"/>
      <c r="H608" s="3034"/>
      <c r="I608" s="3034"/>
      <c r="J608" s="3034"/>
      <c r="K608" s="3034"/>
      <c r="L608" s="3034"/>
      <c r="M608" s="3034"/>
      <c r="N608" s="3034"/>
      <c r="O608" s="3034"/>
      <c r="P608" s="3034"/>
      <c r="Q608" s="3034"/>
      <c r="R608" s="3034"/>
      <c r="S608" s="3034"/>
      <c r="T608" s="3034"/>
      <c r="U608" s="3034"/>
      <c r="V608" s="3034"/>
      <c r="W608" s="3034"/>
      <c r="X608" s="3034"/>
      <c r="Y608" s="3034"/>
      <c r="Z608" s="3034"/>
      <c r="AA608" s="3034"/>
      <c r="AB608" s="3034"/>
      <c r="AC608" s="3034"/>
      <c r="AD608" s="3034"/>
      <c r="AE608" s="3034"/>
      <c r="AF608" s="3034"/>
      <c r="AG608" s="1102"/>
      <c r="AH608" s="1102"/>
      <c r="AI608" s="1102"/>
      <c r="AJ608" s="1102"/>
      <c r="AK608" s="1102"/>
      <c r="AL608" s="1103"/>
      <c r="AM608" s="1057"/>
      <c r="AN608" s="923"/>
      <c r="BS608" s="1057"/>
      <c r="BT608" s="1057"/>
      <c r="BU608" s="1057"/>
      <c r="BV608" s="1057"/>
      <c r="BW608" s="1057"/>
      <c r="BX608" s="1057"/>
      <c r="BY608" s="1057"/>
      <c r="BZ608" s="1057"/>
      <c r="CA608" s="1057"/>
      <c r="CB608" s="1057"/>
      <c r="CC608" s="1057"/>
    </row>
    <row r="609" spans="1:81" s="866" customFormat="1" ht="12.75" customHeight="1">
      <c r="A609" s="850"/>
      <c r="B609" s="51"/>
      <c r="C609" s="1115"/>
      <c r="D609" s="112"/>
      <c r="E609" s="1069"/>
      <c r="F609" s="3034"/>
      <c r="G609" s="3034"/>
      <c r="H609" s="3034"/>
      <c r="I609" s="3034"/>
      <c r="J609" s="3034"/>
      <c r="K609" s="3034"/>
      <c r="L609" s="3034"/>
      <c r="M609" s="3034"/>
      <c r="N609" s="3034"/>
      <c r="O609" s="3034"/>
      <c r="P609" s="3034"/>
      <c r="Q609" s="3034"/>
      <c r="R609" s="3034"/>
      <c r="S609" s="3034"/>
      <c r="T609" s="3034"/>
      <c r="U609" s="3034"/>
      <c r="V609" s="3034"/>
      <c r="W609" s="3034"/>
      <c r="X609" s="3034"/>
      <c r="Y609" s="3034"/>
      <c r="Z609" s="3034"/>
      <c r="AA609" s="3034"/>
      <c r="AB609" s="3034"/>
      <c r="AC609" s="3034"/>
      <c r="AD609" s="3034"/>
      <c r="AE609" s="3034"/>
      <c r="AF609" s="3034"/>
      <c r="AG609" s="1102"/>
      <c r="AH609" s="1102"/>
      <c r="AI609" s="1102"/>
      <c r="AJ609" s="1102"/>
      <c r="AK609" s="1102"/>
      <c r="AL609" s="1103"/>
      <c r="AM609" s="1057"/>
      <c r="AN609" s="923"/>
      <c r="BS609" s="1057"/>
      <c r="BT609" s="1057"/>
      <c r="BU609" s="1057"/>
      <c r="BV609" s="1057"/>
      <c r="BW609" s="1057"/>
      <c r="BX609" s="1057"/>
      <c r="BY609" s="1057"/>
      <c r="BZ609" s="1057"/>
      <c r="CA609" s="1057"/>
      <c r="CB609" s="1057"/>
      <c r="CC609" s="1057"/>
    </row>
    <row r="610" spans="1:81" s="866" customFormat="1" ht="12.75" customHeight="1">
      <c r="A610" s="850"/>
      <c r="B610" s="51"/>
      <c r="C610" s="1115"/>
      <c r="D610" s="112"/>
      <c r="E610" s="1069"/>
      <c r="F610" s="3034"/>
      <c r="G610" s="3034"/>
      <c r="H610" s="3034"/>
      <c r="I610" s="3034"/>
      <c r="J610" s="3034"/>
      <c r="K610" s="3034"/>
      <c r="L610" s="3034"/>
      <c r="M610" s="3034"/>
      <c r="N610" s="3034"/>
      <c r="O610" s="3034"/>
      <c r="P610" s="3034"/>
      <c r="Q610" s="3034"/>
      <c r="R610" s="3034"/>
      <c r="S610" s="3034"/>
      <c r="T610" s="3034"/>
      <c r="U610" s="3034"/>
      <c r="V610" s="3034"/>
      <c r="W610" s="3034"/>
      <c r="X610" s="3034"/>
      <c r="Y610" s="3034"/>
      <c r="Z610" s="3034"/>
      <c r="AA610" s="3034"/>
      <c r="AB610" s="3034"/>
      <c r="AC610" s="3034"/>
      <c r="AD610" s="3034"/>
      <c r="AE610" s="3034"/>
      <c r="AF610" s="3034"/>
      <c r="AG610" s="1102"/>
      <c r="AH610" s="1102"/>
      <c r="AI610" s="1102"/>
      <c r="AJ610" s="1102"/>
      <c r="AK610" s="1102"/>
      <c r="AL610" s="1103"/>
      <c r="AM610" s="1057"/>
      <c r="AN610" s="923"/>
      <c r="BS610" s="1057"/>
      <c r="BT610" s="1057"/>
      <c r="BU610" s="1057"/>
      <c r="BV610" s="1057"/>
      <c r="BW610" s="1057"/>
      <c r="BX610" s="1057"/>
      <c r="BY610" s="1057"/>
      <c r="BZ610" s="1057"/>
      <c r="CA610" s="1057"/>
      <c r="CB610" s="1057"/>
      <c r="CC610" s="1057"/>
    </row>
    <row r="611" spans="1:81" s="866" customFormat="1" ht="12.75" customHeight="1">
      <c r="A611" s="850"/>
      <c r="B611" s="51"/>
      <c r="C611" s="1115"/>
      <c r="D611" s="112"/>
      <c r="E611" s="1069"/>
      <c r="F611" s="3034"/>
      <c r="G611" s="3034"/>
      <c r="H611" s="3034"/>
      <c r="I611" s="3034"/>
      <c r="J611" s="3034"/>
      <c r="K611" s="3034"/>
      <c r="L611" s="3034"/>
      <c r="M611" s="3034"/>
      <c r="N611" s="3034"/>
      <c r="O611" s="3034"/>
      <c r="P611" s="3034"/>
      <c r="Q611" s="3034"/>
      <c r="R611" s="3034"/>
      <c r="S611" s="3034"/>
      <c r="T611" s="3034"/>
      <c r="U611" s="3034"/>
      <c r="V611" s="3034"/>
      <c r="W611" s="3034"/>
      <c r="X611" s="3034"/>
      <c r="Y611" s="3034"/>
      <c r="Z611" s="3034"/>
      <c r="AA611" s="3034"/>
      <c r="AB611" s="3034"/>
      <c r="AC611" s="3034"/>
      <c r="AD611" s="3034"/>
      <c r="AE611" s="3034"/>
      <c r="AF611" s="3034"/>
      <c r="AG611" s="1102"/>
      <c r="AH611" s="1102"/>
      <c r="AI611" s="1102"/>
      <c r="AJ611" s="1102"/>
      <c r="AK611" s="1102"/>
      <c r="AL611" s="1103"/>
      <c r="AM611" s="1057"/>
      <c r="AN611" s="923"/>
      <c r="BS611" s="1057"/>
      <c r="BT611" s="1057"/>
      <c r="BU611" s="1057"/>
      <c r="BV611" s="1057"/>
      <c r="BW611" s="1057"/>
      <c r="BX611" s="1057"/>
      <c r="BY611" s="1057"/>
      <c r="BZ611" s="1057"/>
      <c r="CA611" s="1057"/>
      <c r="CB611" s="1057"/>
      <c r="CC611" s="1057"/>
    </row>
    <row r="612" spans="1:81" s="866" customFormat="1" ht="12.75" customHeight="1">
      <c r="A612" s="850"/>
      <c r="B612" s="51"/>
      <c r="C612" s="3030" t="s">
        <v>580</v>
      </c>
      <c r="D612" s="2972"/>
      <c r="E612" s="1069"/>
      <c r="F612" s="1104" t="s">
        <v>1771</v>
      </c>
      <c r="G612" s="1105"/>
      <c r="H612" s="1105"/>
      <c r="I612" s="1105"/>
      <c r="J612" s="1105"/>
      <c r="K612" s="1105"/>
      <c r="L612" s="1105"/>
      <c r="M612" s="1105"/>
      <c r="N612" s="1105"/>
      <c r="O612" s="1105"/>
      <c r="P612" s="1105"/>
      <c r="Q612" s="1105"/>
      <c r="R612" s="1105"/>
      <c r="S612" s="1105"/>
      <c r="T612" s="1105"/>
      <c r="U612" s="1105"/>
      <c r="V612" s="1105"/>
      <c r="W612" s="1105"/>
      <c r="X612" s="1105"/>
      <c r="Y612" s="1105"/>
      <c r="Z612" s="1105"/>
      <c r="AA612" s="1105"/>
      <c r="AB612" s="1105"/>
      <c r="AC612" s="1105"/>
      <c r="AD612" s="1105"/>
      <c r="AE612" s="948"/>
      <c r="AF612" s="3031" t="s">
        <v>1772</v>
      </c>
      <c r="AG612" s="3031"/>
      <c r="AH612" s="3031"/>
      <c r="AI612" s="3031"/>
      <c r="AJ612" s="3031"/>
      <c r="AK612" s="3031"/>
      <c r="AL612" s="3032"/>
      <c r="AM612" s="1106"/>
      <c r="BS612" s="1057"/>
      <c r="BT612" s="1057"/>
      <c r="BU612" s="1057"/>
      <c r="BV612" s="1057"/>
      <c r="BW612" s="1057"/>
      <c r="BX612" s="1057"/>
      <c r="BY612" s="1057"/>
      <c r="BZ612" s="1057"/>
      <c r="CA612" s="1057"/>
      <c r="CB612" s="1057"/>
      <c r="CC612" s="1057"/>
    </row>
    <row r="613" spans="1:81" s="866" customFormat="1" ht="12.75" customHeight="1">
      <c r="A613" s="850"/>
      <c r="B613" s="51"/>
      <c r="C613" s="1115"/>
      <c r="D613" s="112"/>
      <c r="E613" s="1069"/>
      <c r="F613" s="1122"/>
      <c r="G613" s="1122"/>
      <c r="H613" s="1122"/>
      <c r="I613" s="1122"/>
      <c r="J613" s="1122"/>
      <c r="K613" s="1122"/>
      <c r="L613" s="1122"/>
      <c r="M613" s="1122"/>
      <c r="N613" s="1122"/>
      <c r="O613" s="1122"/>
      <c r="P613" s="1122"/>
      <c r="Q613" s="1122"/>
      <c r="R613" s="1122"/>
      <c r="S613" s="1122"/>
      <c r="T613" s="1122"/>
      <c r="U613" s="1122"/>
      <c r="V613" s="1122"/>
      <c r="W613" s="1122"/>
      <c r="X613" s="1122"/>
      <c r="Y613" s="1122"/>
      <c r="Z613" s="1122"/>
      <c r="AA613" s="1122"/>
      <c r="AB613" s="1122"/>
      <c r="AC613" s="1122"/>
      <c r="AD613" s="1122"/>
      <c r="AE613" s="948"/>
      <c r="AF613" s="948"/>
      <c r="AG613" s="948"/>
      <c r="AH613" s="948"/>
      <c r="AI613" s="948"/>
      <c r="AJ613" s="948"/>
      <c r="AK613" s="948"/>
      <c r="AL613" s="1116"/>
      <c r="AM613" s="1057"/>
      <c r="AN613" s="923"/>
      <c r="BS613" s="1057"/>
      <c r="BT613" s="1057"/>
      <c r="BU613" s="1057"/>
      <c r="BV613" s="1057"/>
      <c r="BW613" s="1057"/>
      <c r="BX613" s="1057"/>
      <c r="BY613" s="1057"/>
      <c r="BZ613" s="1057"/>
      <c r="CA613" s="1057"/>
      <c r="CB613" s="1057"/>
      <c r="CC613" s="1057"/>
    </row>
    <row r="614" spans="1:81" s="866" customFormat="1" ht="12.75" customHeight="1">
      <c r="A614" s="850"/>
      <c r="B614" s="51"/>
      <c r="C614" s="3030" t="s">
        <v>628</v>
      </c>
      <c r="D614" s="2972"/>
      <c r="E614" s="1069"/>
      <c r="F614" s="1123" t="s">
        <v>1773</v>
      </c>
      <c r="G614" s="1122"/>
      <c r="H614" s="1122"/>
      <c r="I614" s="1122"/>
      <c r="J614" s="1122"/>
      <c r="K614" s="1122"/>
      <c r="L614" s="1122"/>
      <c r="M614" s="1122"/>
      <c r="N614" s="1122"/>
      <c r="O614" s="1122"/>
      <c r="P614" s="1122"/>
      <c r="Q614" s="1122"/>
      <c r="R614" s="1122"/>
      <c r="S614" s="1122"/>
      <c r="T614" s="1122"/>
      <c r="U614" s="1122"/>
      <c r="V614" s="1122"/>
      <c r="W614" s="1122"/>
      <c r="X614" s="1122"/>
      <c r="Y614" s="1122"/>
      <c r="Z614" s="1122"/>
      <c r="AA614" s="1122"/>
      <c r="AB614" s="1122"/>
      <c r="AC614" s="1122"/>
      <c r="AD614" s="1122"/>
      <c r="AE614" s="948"/>
      <c r="AF614" s="3031" t="s">
        <v>1767</v>
      </c>
      <c r="AG614" s="3031"/>
      <c r="AH614" s="3031"/>
      <c r="AI614" s="3031"/>
      <c r="AJ614" s="3031"/>
      <c r="AK614" s="3031"/>
      <c r="AL614" s="3032"/>
      <c r="AM614" s="1057"/>
      <c r="AN614" s="923"/>
      <c r="BS614" s="1057"/>
      <c r="BT614" s="1057"/>
      <c r="BU614" s="1057"/>
    </row>
    <row r="615" spans="1:81" s="866" customFormat="1" ht="12.75" customHeight="1">
      <c r="A615" s="850"/>
      <c r="B615" s="51"/>
      <c r="C615" s="1124"/>
      <c r="D615" s="948"/>
      <c r="E615" s="1069"/>
      <c r="F615" s="948"/>
      <c r="G615" s="1122"/>
      <c r="H615" s="1122"/>
      <c r="I615" s="1122"/>
      <c r="J615" s="1122"/>
      <c r="K615" s="1122"/>
      <c r="L615" s="1122"/>
      <c r="M615" s="1122"/>
      <c r="N615" s="1122"/>
      <c r="O615" s="1122"/>
      <c r="P615" s="1122"/>
      <c r="Q615" s="1122"/>
      <c r="R615" s="1122"/>
      <c r="S615" s="1122"/>
      <c r="T615" s="1122"/>
      <c r="U615" s="1122"/>
      <c r="V615" s="1122"/>
      <c r="W615" s="1122"/>
      <c r="X615" s="1122"/>
      <c r="Y615" s="1122"/>
      <c r="Z615" s="1122"/>
      <c r="AA615" s="1122"/>
      <c r="AB615" s="1122"/>
      <c r="AC615" s="1122"/>
      <c r="AD615" s="1122"/>
      <c r="AE615" s="948"/>
      <c r="AF615" s="948"/>
      <c r="AG615" s="948"/>
      <c r="AH615" s="948"/>
      <c r="AI615" s="948"/>
      <c r="AJ615" s="948"/>
      <c r="AK615" s="948"/>
      <c r="AL615" s="1116"/>
      <c r="AM615" s="1057"/>
      <c r="AN615" s="923"/>
      <c r="BS615" s="1057"/>
      <c r="BT615" s="1057"/>
      <c r="BU615" s="1057"/>
    </row>
    <row r="616" spans="1:81" s="866" customFormat="1" ht="12.75" customHeight="1">
      <c r="A616" s="850"/>
      <c r="B616" s="51"/>
      <c r="C616" s="1125"/>
      <c r="D616" s="1117"/>
      <c r="E616" s="1118"/>
      <c r="F616" s="1126" t="s">
        <v>1774</v>
      </c>
      <c r="G616" s="1119"/>
      <c r="H616" s="1119"/>
      <c r="I616" s="1119"/>
      <c r="J616" s="1119"/>
      <c r="K616" s="1119"/>
      <c r="L616" s="1119"/>
      <c r="M616" s="1119"/>
      <c r="N616" s="1119"/>
      <c r="O616" s="1119"/>
      <c r="P616" s="1119"/>
      <c r="Q616" s="1119"/>
      <c r="R616" s="1119"/>
      <c r="S616" s="1119"/>
      <c r="T616" s="1119"/>
      <c r="U616" s="1119"/>
      <c r="V616" s="1119"/>
      <c r="W616" s="1119"/>
      <c r="X616" s="1119"/>
      <c r="Y616" s="1119"/>
      <c r="Z616" s="1119"/>
      <c r="AA616" s="1119"/>
      <c r="AB616" s="1119"/>
      <c r="AC616" s="1119"/>
      <c r="AD616" s="1119"/>
      <c r="AE616" s="1121"/>
      <c r="AF616" s="900"/>
      <c r="AG616" s="1121"/>
      <c r="AH616" s="1111"/>
      <c r="AI616" s="1111"/>
      <c r="AJ616" s="1111"/>
      <c r="AK616" s="1111"/>
      <c r="AL616" s="1127"/>
      <c r="AM616" s="1057"/>
      <c r="AN616" s="923"/>
      <c r="BS616" s="1057"/>
      <c r="BT616" s="1057"/>
      <c r="BU616" s="1057"/>
    </row>
    <row r="617" spans="1:81" s="866" customFormat="1" ht="12.75" customHeight="1">
      <c r="A617" s="850"/>
      <c r="B617" s="51"/>
      <c r="C617" s="51"/>
      <c r="D617" s="51"/>
      <c r="E617" s="1069"/>
      <c r="F617" s="1046"/>
      <c r="G617" s="1046"/>
      <c r="H617" s="1046"/>
      <c r="I617" s="1046"/>
      <c r="J617" s="1046"/>
      <c r="K617" s="1046"/>
      <c r="L617" s="1046"/>
      <c r="M617" s="1046"/>
      <c r="N617" s="1046"/>
      <c r="O617" s="1046"/>
      <c r="P617" s="1046"/>
      <c r="Q617" s="1046"/>
      <c r="R617" s="1046"/>
      <c r="S617" s="1046"/>
      <c r="T617" s="1046"/>
      <c r="U617" s="1046"/>
      <c r="V617" s="1046"/>
      <c r="W617" s="1046"/>
      <c r="X617" s="1046"/>
      <c r="Y617" s="1046"/>
      <c r="Z617" s="1046"/>
      <c r="AA617" s="1046"/>
      <c r="AB617" s="1046"/>
      <c r="AC617" s="1046"/>
      <c r="AD617" s="1046"/>
      <c r="AE617" s="850"/>
      <c r="AF617" s="855"/>
      <c r="AG617" s="850"/>
      <c r="AM617" s="1057"/>
      <c r="AN617" s="923"/>
      <c r="BS617" s="1057"/>
      <c r="BT617" s="1057"/>
      <c r="BU617" s="1057"/>
    </row>
    <row r="618" spans="1:81" s="866" customFormat="1" ht="12.75" customHeight="1">
      <c r="A618" s="850"/>
      <c r="B618" s="51"/>
      <c r="C618" s="1095"/>
      <c r="D618" s="1096"/>
      <c r="E618" s="1097" t="s">
        <v>1775</v>
      </c>
      <c r="F618" s="3033" t="s">
        <v>1776</v>
      </c>
      <c r="G618" s="3033"/>
      <c r="H618" s="3033"/>
      <c r="I618" s="3033"/>
      <c r="J618" s="3033"/>
      <c r="K618" s="3033"/>
      <c r="L618" s="3033"/>
      <c r="M618" s="3033"/>
      <c r="N618" s="3033"/>
      <c r="O618" s="3033"/>
      <c r="P618" s="3033"/>
      <c r="Q618" s="3033"/>
      <c r="R618" s="3033"/>
      <c r="S618" s="3033"/>
      <c r="T618" s="3033"/>
      <c r="U618" s="3033"/>
      <c r="V618" s="3033"/>
      <c r="W618" s="3033"/>
      <c r="X618" s="3033"/>
      <c r="Y618" s="3033"/>
      <c r="Z618" s="3033"/>
      <c r="AA618" s="3033"/>
      <c r="AB618" s="3033"/>
      <c r="AC618" s="3033"/>
      <c r="AD618" s="3033"/>
      <c r="AE618" s="3033"/>
      <c r="AF618" s="3033"/>
      <c r="AG618" s="1098"/>
      <c r="AH618" s="1098"/>
      <c r="AI618" s="1098"/>
      <c r="AJ618" s="1098"/>
      <c r="AK618" s="1098"/>
      <c r="AL618" s="1099"/>
      <c r="AM618" s="1057"/>
      <c r="AN618" s="923"/>
      <c r="BS618" s="1057"/>
      <c r="BT618" s="1057"/>
      <c r="BU618" s="1057"/>
      <c r="BV618" s="1057"/>
      <c r="BW618" s="1057"/>
      <c r="BX618" s="1057"/>
      <c r="BY618" s="1057"/>
      <c r="BZ618" s="1057"/>
      <c r="CA618" s="1057"/>
      <c r="CB618" s="1057"/>
      <c r="CC618" s="1057"/>
    </row>
    <row r="619" spans="1:81" s="866" customFormat="1" ht="12.75" customHeight="1">
      <c r="A619" s="850"/>
      <c r="B619" s="51"/>
      <c r="C619" s="1115"/>
      <c r="D619" s="112"/>
      <c r="E619" s="1069"/>
      <c r="F619" s="3034"/>
      <c r="G619" s="3034"/>
      <c r="H619" s="3034"/>
      <c r="I619" s="3034"/>
      <c r="J619" s="3034"/>
      <c r="K619" s="3034"/>
      <c r="L619" s="3034"/>
      <c r="M619" s="3034"/>
      <c r="N619" s="3034"/>
      <c r="O619" s="3034"/>
      <c r="P619" s="3034"/>
      <c r="Q619" s="3034"/>
      <c r="R619" s="3034"/>
      <c r="S619" s="3034"/>
      <c r="T619" s="3034"/>
      <c r="U619" s="3034"/>
      <c r="V619" s="3034"/>
      <c r="W619" s="3034"/>
      <c r="X619" s="3034"/>
      <c r="Y619" s="3034"/>
      <c r="Z619" s="3034"/>
      <c r="AA619" s="3034"/>
      <c r="AB619" s="3034"/>
      <c r="AC619" s="3034"/>
      <c r="AD619" s="3034"/>
      <c r="AE619" s="3034"/>
      <c r="AF619" s="3034"/>
      <c r="AG619" s="1102"/>
      <c r="AH619" s="1102"/>
      <c r="AI619" s="1102"/>
      <c r="AJ619" s="1102"/>
      <c r="AK619" s="1102"/>
      <c r="AL619" s="1103"/>
      <c r="AM619" s="1057"/>
      <c r="AN619" s="923"/>
      <c r="BS619" s="1057"/>
      <c r="BT619" s="1057"/>
      <c r="BU619" s="1057"/>
      <c r="BV619" s="1057"/>
      <c r="BW619" s="1057"/>
      <c r="BX619" s="1057"/>
      <c r="BY619" s="1057"/>
      <c r="BZ619" s="1057"/>
      <c r="CA619" s="1057"/>
      <c r="CB619" s="1057"/>
      <c r="CC619" s="1057"/>
    </row>
    <row r="620" spans="1:81">
      <c r="A620" s="850"/>
      <c r="C620" s="1115"/>
      <c r="D620" s="112"/>
      <c r="E620" s="1069"/>
      <c r="F620" s="3034"/>
      <c r="G620" s="3034"/>
      <c r="H620" s="3034"/>
      <c r="I620" s="3034"/>
      <c r="J620" s="3034"/>
      <c r="K620" s="3034"/>
      <c r="L620" s="3034"/>
      <c r="M620" s="3034"/>
      <c r="N620" s="3034"/>
      <c r="O620" s="3034"/>
      <c r="P620" s="3034"/>
      <c r="Q620" s="3034"/>
      <c r="R620" s="3034"/>
      <c r="S620" s="3034"/>
      <c r="T620" s="3034"/>
      <c r="U620" s="3034"/>
      <c r="V620" s="3034"/>
      <c r="W620" s="3034"/>
      <c r="X620" s="3034"/>
      <c r="Y620" s="3034"/>
      <c r="Z620" s="3034"/>
      <c r="AA620" s="3034"/>
      <c r="AB620" s="3034"/>
      <c r="AC620" s="3034"/>
      <c r="AD620" s="3034"/>
      <c r="AE620" s="3034"/>
      <c r="AF620" s="3034"/>
      <c r="AG620" s="1102"/>
      <c r="AH620" s="1102"/>
      <c r="AI620" s="1102"/>
      <c r="AJ620" s="1102"/>
      <c r="AK620" s="1102"/>
      <c r="AL620" s="1103"/>
      <c r="AM620" s="1057"/>
      <c r="BS620" s="1057"/>
      <c r="BT620" s="1057"/>
      <c r="BU620" s="1057"/>
      <c r="BV620" s="1057"/>
      <c r="BW620" s="1057"/>
      <c r="BX620" s="1057"/>
      <c r="BY620" s="1057"/>
      <c r="BZ620" s="1057"/>
      <c r="CA620" s="1057"/>
      <c r="CB620" s="1057"/>
      <c r="CC620" s="1057"/>
    </row>
    <row r="621" spans="1:81" s="866" customFormat="1" ht="12.75" customHeight="1">
      <c r="A621" s="850"/>
      <c r="B621" s="51"/>
      <c r="C621" s="1115"/>
      <c r="D621" s="112"/>
      <c r="E621" s="1069"/>
      <c r="F621" s="3034"/>
      <c r="G621" s="3034"/>
      <c r="H621" s="3034"/>
      <c r="I621" s="3034"/>
      <c r="J621" s="3034"/>
      <c r="K621" s="3034"/>
      <c r="L621" s="3034"/>
      <c r="M621" s="3034"/>
      <c r="N621" s="3034"/>
      <c r="O621" s="3034"/>
      <c r="P621" s="3034"/>
      <c r="Q621" s="3034"/>
      <c r="R621" s="3034"/>
      <c r="S621" s="3034"/>
      <c r="T621" s="3034"/>
      <c r="U621" s="3034"/>
      <c r="V621" s="3034"/>
      <c r="W621" s="3034"/>
      <c r="X621" s="3034"/>
      <c r="Y621" s="3034"/>
      <c r="Z621" s="3034"/>
      <c r="AA621" s="3034"/>
      <c r="AB621" s="3034"/>
      <c r="AC621" s="3034"/>
      <c r="AD621" s="3034"/>
      <c r="AE621" s="3034"/>
      <c r="AF621" s="3034"/>
      <c r="AG621" s="1102"/>
      <c r="AH621" s="1102"/>
      <c r="AI621" s="1102"/>
      <c r="AJ621" s="1102"/>
      <c r="AK621" s="1102"/>
      <c r="AL621" s="1103"/>
      <c r="AM621" s="1057"/>
      <c r="AN621" s="923"/>
      <c r="BS621" s="1057"/>
      <c r="BT621" s="1057"/>
      <c r="BY621" s="1057"/>
      <c r="BZ621" s="1057"/>
      <c r="CA621" s="1057"/>
      <c r="CB621" s="1057"/>
      <c r="CC621" s="1057"/>
    </row>
    <row r="622" spans="1:81" s="866" customFormat="1" ht="12.75" customHeight="1">
      <c r="A622" s="850"/>
      <c r="B622" s="51"/>
      <c r="C622" s="3030" t="s">
        <v>628</v>
      </c>
      <c r="D622" s="2972"/>
      <c r="E622" s="1069"/>
      <c r="F622" s="1104" t="s">
        <v>1777</v>
      </c>
      <c r="G622" s="1105"/>
      <c r="H622" s="1105"/>
      <c r="I622" s="1105"/>
      <c r="J622" s="1105"/>
      <c r="K622" s="1105"/>
      <c r="L622" s="1105"/>
      <c r="M622" s="1105"/>
      <c r="N622" s="1105"/>
      <c r="O622" s="1105"/>
      <c r="P622" s="1105"/>
      <c r="Q622" s="1105"/>
      <c r="R622" s="1105"/>
      <c r="S622" s="1105"/>
      <c r="T622" s="1105"/>
      <c r="U622" s="1105"/>
      <c r="V622" s="1105"/>
      <c r="W622" s="1105"/>
      <c r="X622" s="1105"/>
      <c r="Y622" s="1105"/>
      <c r="Z622" s="1105"/>
      <c r="AA622" s="1105"/>
      <c r="AB622" s="1105"/>
      <c r="AC622" s="1105"/>
      <c r="AD622" s="1105"/>
      <c r="AE622" s="948"/>
      <c r="AF622" s="3031" t="s">
        <v>1767</v>
      </c>
      <c r="AG622" s="3031"/>
      <c r="AH622" s="3031"/>
      <c r="AI622" s="3031"/>
      <c r="AJ622" s="3031"/>
      <c r="AK622" s="3031"/>
      <c r="AL622" s="3032"/>
      <c r="AM622" s="1057"/>
      <c r="AN622" s="923"/>
      <c r="BS622" s="1057"/>
      <c r="BT622" s="1057"/>
      <c r="BY622" s="1057"/>
      <c r="BZ622" s="1057"/>
      <c r="CA622" s="1057"/>
      <c r="CB622" s="1057"/>
      <c r="CC622" s="1057"/>
    </row>
    <row r="623" spans="1:81" s="866" customFormat="1" ht="12.75" customHeight="1">
      <c r="A623" s="850"/>
      <c r="B623" s="51"/>
      <c r="C623" s="1115"/>
      <c r="D623" s="112"/>
      <c r="E623" s="1069"/>
      <c r="F623" s="948"/>
      <c r="G623" s="1105"/>
      <c r="H623" s="1105"/>
      <c r="I623" s="1105"/>
      <c r="J623" s="1105"/>
      <c r="K623" s="1105"/>
      <c r="L623" s="1105"/>
      <c r="M623" s="1105"/>
      <c r="N623" s="1105"/>
      <c r="O623" s="1105"/>
      <c r="P623" s="1105"/>
      <c r="Q623" s="1105"/>
      <c r="R623" s="1105"/>
      <c r="S623" s="1105"/>
      <c r="T623" s="1105"/>
      <c r="U623" s="1105"/>
      <c r="V623" s="1105"/>
      <c r="W623" s="1105"/>
      <c r="X623" s="1105"/>
      <c r="Y623" s="1105"/>
      <c r="Z623" s="1105"/>
      <c r="AA623" s="1105"/>
      <c r="AB623" s="1105"/>
      <c r="AC623" s="1105"/>
      <c r="AD623" s="1105"/>
      <c r="AE623" s="948"/>
      <c r="AF623" s="948"/>
      <c r="AG623" s="948"/>
      <c r="AH623" s="948"/>
      <c r="AI623" s="948"/>
      <c r="AJ623" s="948"/>
      <c r="AK623" s="948"/>
      <c r="AL623" s="1116"/>
      <c r="AM623" s="1057"/>
      <c r="AN623" s="923"/>
      <c r="BS623" s="1057"/>
      <c r="BT623" s="1057"/>
      <c r="BY623" s="1057"/>
      <c r="BZ623" s="1057"/>
      <c r="CA623" s="1057"/>
      <c r="CB623" s="1057"/>
      <c r="CC623" s="1057"/>
    </row>
    <row r="624" spans="1:81" s="866" customFormat="1" ht="12.75" customHeight="1">
      <c r="A624" s="850"/>
      <c r="B624" s="51"/>
      <c r="C624" s="3030" t="s">
        <v>628</v>
      </c>
      <c r="D624" s="2972"/>
      <c r="E624" s="1101"/>
      <c r="F624" s="1104" t="s">
        <v>1778</v>
      </c>
      <c r="G624" s="1105"/>
      <c r="H624" s="1105"/>
      <c r="I624" s="1105"/>
      <c r="J624" s="1105"/>
      <c r="K624" s="1105"/>
      <c r="L624" s="1105"/>
      <c r="M624" s="1105"/>
      <c r="N624" s="1105"/>
      <c r="O624" s="1105"/>
      <c r="P624" s="1105"/>
      <c r="Q624" s="1105"/>
      <c r="R624" s="1105"/>
      <c r="S624" s="1105"/>
      <c r="T624" s="1105"/>
      <c r="U624" s="1105"/>
      <c r="V624" s="1105"/>
      <c r="W624" s="1105"/>
      <c r="X624" s="1105"/>
      <c r="Y624" s="1105"/>
      <c r="Z624" s="1105"/>
      <c r="AA624" s="1105"/>
      <c r="AB624" s="1105"/>
      <c r="AC624" s="1105"/>
      <c r="AD624" s="1105"/>
      <c r="AE624" s="948"/>
      <c r="AF624" s="3031" t="s">
        <v>1779</v>
      </c>
      <c r="AG624" s="3031"/>
      <c r="AH624" s="3031"/>
      <c r="AI624" s="3031"/>
      <c r="AJ624" s="3031"/>
      <c r="AK624" s="3031"/>
      <c r="AL624" s="3032"/>
      <c r="AM624" s="1057"/>
      <c r="AN624" s="923"/>
      <c r="AO624" s="948"/>
      <c r="AP624" s="948"/>
      <c r="BS624" s="1057"/>
      <c r="BT624" s="1057"/>
      <c r="BY624" s="1057"/>
      <c r="BZ624" s="1057"/>
      <c r="CA624" s="1057"/>
      <c r="CB624" s="1057"/>
      <c r="CC624" s="1057"/>
    </row>
    <row r="625" spans="1:81" s="866" customFormat="1" ht="12.75" customHeight="1">
      <c r="A625" s="850"/>
      <c r="B625" s="51"/>
      <c r="C625" s="1128"/>
      <c r="D625" s="1111"/>
      <c r="E625" s="1108"/>
      <c r="F625" s="1111"/>
      <c r="G625" s="1110"/>
      <c r="H625" s="1110"/>
      <c r="I625" s="1110"/>
      <c r="J625" s="1110"/>
      <c r="K625" s="1110"/>
      <c r="L625" s="1110"/>
      <c r="M625" s="1110"/>
      <c r="N625" s="1110"/>
      <c r="O625" s="1110"/>
      <c r="P625" s="1110"/>
      <c r="Q625" s="1110"/>
      <c r="R625" s="1110"/>
      <c r="S625" s="1110"/>
      <c r="T625" s="1110"/>
      <c r="U625" s="1110"/>
      <c r="V625" s="1110"/>
      <c r="W625" s="1110"/>
      <c r="X625" s="1110"/>
      <c r="Y625" s="1110"/>
      <c r="Z625" s="1110"/>
      <c r="AA625" s="1110"/>
      <c r="AB625" s="1110"/>
      <c r="AC625" s="1110"/>
      <c r="AD625" s="1110"/>
      <c r="AE625" s="1111"/>
      <c r="AF625" s="1111"/>
      <c r="AG625" s="1111"/>
      <c r="AH625" s="1111"/>
      <c r="AI625" s="1111"/>
      <c r="AJ625" s="1111"/>
      <c r="AK625" s="1111"/>
      <c r="AL625" s="1127"/>
      <c r="AM625" s="1057"/>
      <c r="AN625" s="923"/>
      <c r="BS625" s="1057"/>
      <c r="BT625" s="1057"/>
      <c r="BY625" s="1057"/>
      <c r="BZ625" s="1057"/>
      <c r="CA625" s="1057"/>
      <c r="CB625" s="1057"/>
      <c r="CC625" s="1057"/>
    </row>
    <row r="626" spans="1:81" s="866" customFormat="1" ht="12.75" customHeight="1">
      <c r="A626" s="850"/>
      <c r="B626" s="51"/>
      <c r="C626" s="51"/>
      <c r="D626" s="51"/>
      <c r="E626" s="1069"/>
      <c r="G626" s="1129"/>
      <c r="H626" s="1129"/>
      <c r="I626" s="1129"/>
      <c r="J626" s="1129"/>
      <c r="K626" s="1129"/>
      <c r="L626" s="1129"/>
      <c r="M626" s="1129"/>
      <c r="N626" s="1129"/>
      <c r="O626" s="1129"/>
      <c r="P626" s="1129"/>
      <c r="Q626" s="1129"/>
      <c r="R626" s="1129"/>
      <c r="S626" s="1129"/>
      <c r="T626" s="1129"/>
      <c r="U626" s="1129"/>
      <c r="V626" s="1129"/>
      <c r="W626" s="1129"/>
      <c r="X626" s="1129"/>
      <c r="Y626" s="1129"/>
      <c r="Z626" s="1129"/>
      <c r="AA626" s="1129"/>
      <c r="AB626" s="1129"/>
      <c r="AC626" s="1129"/>
      <c r="AD626" s="1129"/>
      <c r="AE626" s="850"/>
      <c r="AF626" s="855"/>
      <c r="AG626" s="850"/>
      <c r="AM626" s="1057"/>
      <c r="AN626" s="923"/>
      <c r="BS626" s="1057"/>
      <c r="BT626" s="1057"/>
      <c r="BY626" s="1057"/>
      <c r="BZ626" s="1057"/>
      <c r="CA626" s="1057"/>
      <c r="CB626" s="1057"/>
      <c r="CC626" s="1057"/>
    </row>
    <row r="627" spans="1:81" s="866" customFormat="1" ht="12.75" customHeight="1">
      <c r="A627" s="850"/>
      <c r="B627" s="51"/>
      <c r="C627" s="3030" t="s">
        <v>628</v>
      </c>
      <c r="D627" s="2972"/>
      <c r="E627" s="1097" t="s">
        <v>1780</v>
      </c>
      <c r="F627" s="3033" t="s">
        <v>1781</v>
      </c>
      <c r="G627" s="3033"/>
      <c r="H627" s="3033"/>
      <c r="I627" s="3033"/>
      <c r="J627" s="3033"/>
      <c r="K627" s="3033"/>
      <c r="L627" s="3033"/>
      <c r="M627" s="3033"/>
      <c r="N627" s="3033"/>
      <c r="O627" s="3033"/>
      <c r="P627" s="3033"/>
      <c r="Q627" s="3033"/>
      <c r="R627" s="3033"/>
      <c r="S627" s="3033"/>
      <c r="T627" s="3033"/>
      <c r="U627" s="3033"/>
      <c r="V627" s="3033"/>
      <c r="W627" s="3033"/>
      <c r="X627" s="3033"/>
      <c r="Y627" s="3033"/>
      <c r="Z627" s="3033"/>
      <c r="AA627" s="3033"/>
      <c r="AB627" s="3033"/>
      <c r="AC627" s="3033"/>
      <c r="AD627" s="3033"/>
      <c r="AE627" s="3033"/>
      <c r="AF627" s="1130"/>
      <c r="AG627" s="1131"/>
      <c r="AH627" s="1096"/>
      <c r="AI627" s="1096"/>
      <c r="AJ627" s="1096"/>
      <c r="AK627" s="1096"/>
      <c r="AL627" s="1132"/>
      <c r="AM627" s="1057"/>
      <c r="AN627" s="923"/>
      <c r="BS627" s="1057"/>
      <c r="BT627" s="1057"/>
      <c r="BY627" s="1057"/>
      <c r="BZ627" s="1057"/>
      <c r="CA627" s="1057"/>
      <c r="CB627" s="1057"/>
      <c r="CC627" s="1057"/>
    </row>
    <row r="628" spans="1:81" s="866" customFormat="1" ht="12.75" customHeight="1">
      <c r="A628" s="850"/>
      <c r="B628" s="51"/>
      <c r="C628" s="1124"/>
      <c r="D628" s="948"/>
      <c r="E628" s="948"/>
      <c r="F628" s="3034"/>
      <c r="G628" s="3034"/>
      <c r="H628" s="3034"/>
      <c r="I628" s="3034"/>
      <c r="J628" s="3034"/>
      <c r="K628" s="3034"/>
      <c r="L628" s="3034"/>
      <c r="M628" s="3034"/>
      <c r="N628" s="3034"/>
      <c r="O628" s="3034"/>
      <c r="P628" s="3034"/>
      <c r="Q628" s="3034"/>
      <c r="R628" s="3034"/>
      <c r="S628" s="3034"/>
      <c r="T628" s="3034"/>
      <c r="U628" s="3034"/>
      <c r="V628" s="3034"/>
      <c r="W628" s="3034"/>
      <c r="X628" s="3034"/>
      <c r="Y628" s="3034"/>
      <c r="Z628" s="3034"/>
      <c r="AA628" s="3034"/>
      <c r="AB628" s="3034"/>
      <c r="AC628" s="3034"/>
      <c r="AD628" s="3034"/>
      <c r="AE628" s="3034"/>
      <c r="AF628" s="3035" t="s">
        <v>1767</v>
      </c>
      <c r="AG628" s="3035"/>
      <c r="AH628" s="3035"/>
      <c r="AI628" s="3035"/>
      <c r="AJ628" s="3035"/>
      <c r="AK628" s="3035"/>
      <c r="AL628" s="3036"/>
      <c r="AM628" s="1057"/>
      <c r="AN628" s="923"/>
      <c r="BS628" s="1057"/>
      <c r="BT628" s="1057"/>
      <c r="BY628" s="1057"/>
      <c r="BZ628" s="1057"/>
      <c r="CA628" s="1057"/>
      <c r="CB628" s="1057"/>
      <c r="CC628" s="1057"/>
    </row>
    <row r="629" spans="1:81" s="866" customFormat="1" ht="12.75" customHeight="1">
      <c r="A629" s="850"/>
      <c r="B629" s="51"/>
      <c r="C629" s="1115"/>
      <c r="D629" s="112"/>
      <c r="E629" s="1069"/>
      <c r="F629" s="3034"/>
      <c r="G629" s="3034"/>
      <c r="H629" s="3034"/>
      <c r="I629" s="3034"/>
      <c r="J629" s="3034"/>
      <c r="K629" s="3034"/>
      <c r="L629" s="3034"/>
      <c r="M629" s="3034"/>
      <c r="N629" s="3034"/>
      <c r="O629" s="3034"/>
      <c r="P629" s="3034"/>
      <c r="Q629" s="3034"/>
      <c r="R629" s="3034"/>
      <c r="S629" s="3034"/>
      <c r="T629" s="3034"/>
      <c r="U629" s="3034"/>
      <c r="V629" s="3034"/>
      <c r="W629" s="3034"/>
      <c r="X629" s="3034"/>
      <c r="Y629" s="3034"/>
      <c r="Z629" s="3034"/>
      <c r="AA629" s="3034"/>
      <c r="AB629" s="3034"/>
      <c r="AC629" s="3034"/>
      <c r="AD629" s="3034"/>
      <c r="AE629" s="3034"/>
      <c r="AF629" s="948"/>
      <c r="AG629" s="948"/>
      <c r="AH629" s="948"/>
      <c r="AI629" s="948"/>
      <c r="AJ629" s="948"/>
      <c r="AK629" s="948"/>
      <c r="AL629" s="1116"/>
      <c r="AM629" s="1057"/>
      <c r="AN629" s="923"/>
      <c r="BS629" s="1057"/>
      <c r="BT629" s="1057"/>
      <c r="BU629" s="1057"/>
      <c r="BV629" s="1057"/>
      <c r="BW629" s="1057"/>
      <c r="BX629" s="1057"/>
      <c r="BY629" s="1057"/>
      <c r="BZ629" s="1057"/>
      <c r="CA629" s="1057"/>
      <c r="CB629" s="1057"/>
      <c r="CC629" s="1057"/>
    </row>
    <row r="630" spans="1:81" s="866" customFormat="1" ht="12.75" customHeight="1">
      <c r="A630" s="850"/>
      <c r="B630" s="51"/>
      <c r="C630" s="1125"/>
      <c r="D630" s="1117"/>
      <c r="E630" s="1118"/>
      <c r="F630" s="3037"/>
      <c r="G630" s="3037"/>
      <c r="H630" s="3037"/>
      <c r="I630" s="3037"/>
      <c r="J630" s="3037"/>
      <c r="K630" s="3037"/>
      <c r="L630" s="3037"/>
      <c r="M630" s="3037"/>
      <c r="N630" s="3037"/>
      <c r="O630" s="3037"/>
      <c r="P630" s="3037"/>
      <c r="Q630" s="3037"/>
      <c r="R630" s="3037"/>
      <c r="S630" s="3037"/>
      <c r="T630" s="3037"/>
      <c r="U630" s="3037"/>
      <c r="V630" s="3037"/>
      <c r="W630" s="3037"/>
      <c r="X630" s="3037"/>
      <c r="Y630" s="3037"/>
      <c r="Z630" s="3037"/>
      <c r="AA630" s="3037"/>
      <c r="AB630" s="3037"/>
      <c r="AC630" s="3037"/>
      <c r="AD630" s="3037"/>
      <c r="AE630" s="3037"/>
      <c r="AF630" s="900"/>
      <c r="AG630" s="1121"/>
      <c r="AH630" s="1111"/>
      <c r="AI630" s="1111"/>
      <c r="AJ630" s="1111"/>
      <c r="AK630" s="1111"/>
      <c r="AL630" s="1127"/>
      <c r="AM630" s="1057"/>
      <c r="AN630" s="923"/>
    </row>
    <row r="631" spans="1:81">
      <c r="A631" s="850"/>
      <c r="E631" s="1069"/>
      <c r="F631" s="1129"/>
      <c r="G631" s="1129"/>
      <c r="H631" s="1129"/>
      <c r="I631" s="1129"/>
      <c r="J631" s="1129"/>
      <c r="K631" s="1129"/>
      <c r="L631" s="1129"/>
      <c r="M631" s="1129"/>
      <c r="N631" s="1129"/>
      <c r="O631" s="1129"/>
      <c r="P631" s="1129"/>
      <c r="Q631" s="1129"/>
      <c r="R631" s="1129"/>
      <c r="S631" s="1129"/>
      <c r="T631" s="1129"/>
      <c r="U631" s="1129"/>
      <c r="V631" s="1129"/>
      <c r="W631" s="1129"/>
      <c r="X631" s="1129"/>
      <c r="Y631" s="1129"/>
      <c r="Z631" s="1129"/>
      <c r="AA631" s="1129"/>
      <c r="AB631" s="1129"/>
      <c r="AC631" s="1129"/>
      <c r="AD631" s="1129"/>
      <c r="AE631" s="850"/>
      <c r="AF631" s="855"/>
      <c r="AG631" s="850"/>
      <c r="AH631" s="866"/>
      <c r="AI631" s="866"/>
      <c r="AJ631" s="866"/>
      <c r="AK631" s="866"/>
      <c r="AL631" s="866"/>
      <c r="AM631" s="1057"/>
    </row>
    <row r="632" spans="1:81" ht="12.75" customHeight="1">
      <c r="A632" s="850"/>
      <c r="C632" s="1133"/>
      <c r="D632" s="1134"/>
      <c r="E632" s="1097" t="s">
        <v>1782</v>
      </c>
      <c r="F632" s="3038" t="s">
        <v>1783</v>
      </c>
      <c r="G632" s="3038"/>
      <c r="H632" s="3038"/>
      <c r="I632" s="3038"/>
      <c r="J632" s="3038"/>
      <c r="K632" s="3038"/>
      <c r="L632" s="3038"/>
      <c r="M632" s="3038"/>
      <c r="N632" s="3038"/>
      <c r="O632" s="3038"/>
      <c r="P632" s="3038"/>
      <c r="Q632" s="3038"/>
      <c r="R632" s="3038"/>
      <c r="S632" s="3038"/>
      <c r="T632" s="3038"/>
      <c r="U632" s="3038"/>
      <c r="V632" s="3038"/>
      <c r="W632" s="3038"/>
      <c r="X632" s="3038"/>
      <c r="Y632" s="3038"/>
      <c r="Z632" s="3038"/>
      <c r="AA632" s="3038"/>
      <c r="AB632" s="3038"/>
      <c r="AC632" s="3038"/>
      <c r="AD632" s="3038"/>
      <c r="AE632" s="3038"/>
      <c r="AF632" s="1134"/>
      <c r="AG632" s="1134"/>
      <c r="AH632" s="1134"/>
      <c r="AI632" s="1134"/>
      <c r="AJ632" s="1134"/>
      <c r="AK632" s="1134"/>
      <c r="AL632" s="1135"/>
      <c r="AM632" s="1057"/>
    </row>
    <row r="633" spans="1:81">
      <c r="A633" s="850"/>
      <c r="C633" s="1115"/>
      <c r="D633" s="112"/>
      <c r="E633" s="1069"/>
      <c r="F633" s="3039"/>
      <c r="G633" s="3039"/>
      <c r="H633" s="3039"/>
      <c r="I633" s="3039"/>
      <c r="J633" s="3039"/>
      <c r="K633" s="3039"/>
      <c r="L633" s="3039"/>
      <c r="M633" s="3039"/>
      <c r="N633" s="3039"/>
      <c r="O633" s="3039"/>
      <c r="P633" s="3039"/>
      <c r="Q633" s="3039"/>
      <c r="R633" s="3039"/>
      <c r="S633" s="3039"/>
      <c r="T633" s="3039"/>
      <c r="U633" s="3039"/>
      <c r="V633" s="3039"/>
      <c r="W633" s="3039"/>
      <c r="X633" s="3039"/>
      <c r="Y633" s="3039"/>
      <c r="Z633" s="3039"/>
      <c r="AA633" s="3039"/>
      <c r="AB633" s="3039"/>
      <c r="AC633" s="3039"/>
      <c r="AD633" s="3039"/>
      <c r="AE633" s="3039"/>
      <c r="AF633" s="1136"/>
      <c r="AG633" s="914"/>
      <c r="AH633" s="948"/>
      <c r="AI633" s="948"/>
      <c r="AJ633" s="948"/>
      <c r="AK633" s="948"/>
      <c r="AL633" s="1116"/>
      <c r="AM633" s="1057"/>
    </row>
    <row r="634" spans="1:81" s="866" customFormat="1" ht="12.75" customHeight="1">
      <c r="A634" s="850"/>
      <c r="B634" s="51"/>
      <c r="C634" s="1115"/>
      <c r="D634" s="112"/>
      <c r="E634" s="1069"/>
      <c r="F634" s="3039"/>
      <c r="G634" s="3039"/>
      <c r="H634" s="3039"/>
      <c r="I634" s="3039"/>
      <c r="J634" s="3039"/>
      <c r="K634" s="3039"/>
      <c r="L634" s="3039"/>
      <c r="M634" s="3039"/>
      <c r="N634" s="3039"/>
      <c r="O634" s="3039"/>
      <c r="P634" s="3039"/>
      <c r="Q634" s="3039"/>
      <c r="R634" s="3039"/>
      <c r="S634" s="3039"/>
      <c r="T634" s="3039"/>
      <c r="U634" s="3039"/>
      <c r="V634" s="3039"/>
      <c r="W634" s="3039"/>
      <c r="X634" s="3039"/>
      <c r="Y634" s="3039"/>
      <c r="Z634" s="3039"/>
      <c r="AA634" s="3039"/>
      <c r="AB634" s="3039"/>
      <c r="AC634" s="3039"/>
      <c r="AD634" s="3039"/>
      <c r="AE634" s="3039"/>
      <c r="AF634" s="948"/>
      <c r="AG634" s="948"/>
      <c r="AH634" s="948"/>
      <c r="AI634" s="948"/>
      <c r="AJ634" s="948"/>
      <c r="AK634" s="948"/>
      <c r="AL634" s="1116"/>
      <c r="AM634" s="1057"/>
      <c r="AN634" s="923"/>
    </row>
    <row r="635" spans="1:81" s="866" customFormat="1" ht="12.75" customHeight="1">
      <c r="A635" s="850"/>
      <c r="B635" s="51"/>
      <c r="C635" s="1124"/>
      <c r="D635" s="948"/>
      <c r="E635" s="948"/>
      <c r="F635" s="3039"/>
      <c r="G635" s="3039"/>
      <c r="H635" s="3039"/>
      <c r="I635" s="3039"/>
      <c r="J635" s="3039"/>
      <c r="K635" s="3039"/>
      <c r="L635" s="3039"/>
      <c r="M635" s="3039"/>
      <c r="N635" s="3039"/>
      <c r="O635" s="3039"/>
      <c r="P635" s="3039"/>
      <c r="Q635" s="3039"/>
      <c r="R635" s="3039"/>
      <c r="S635" s="3039"/>
      <c r="T635" s="3039"/>
      <c r="U635" s="3039"/>
      <c r="V635" s="3039"/>
      <c r="W635" s="3039"/>
      <c r="X635" s="3039"/>
      <c r="Y635" s="3039"/>
      <c r="Z635" s="3039"/>
      <c r="AA635" s="3039"/>
      <c r="AB635" s="3039"/>
      <c r="AC635" s="3039"/>
      <c r="AD635" s="3039"/>
      <c r="AE635" s="3039"/>
      <c r="AF635" s="948"/>
      <c r="AG635" s="948"/>
      <c r="AH635" s="948"/>
      <c r="AI635" s="948"/>
      <c r="AJ635" s="948"/>
      <c r="AK635" s="948"/>
      <c r="AL635" s="1116"/>
      <c r="AM635" s="1057"/>
      <c r="AN635" s="923"/>
    </row>
    <row r="636" spans="1:81" s="866" customFormat="1" ht="12.75" customHeight="1">
      <c r="A636" s="850"/>
      <c r="B636" s="51"/>
      <c r="C636" s="3030" t="s">
        <v>580</v>
      </c>
      <c r="D636" s="2972"/>
      <c r="E636" s="1069"/>
      <c r="F636" s="1137" t="s">
        <v>1784</v>
      </c>
      <c r="G636" s="1138"/>
      <c r="H636" s="1138"/>
      <c r="I636" s="1138"/>
      <c r="J636" s="1138"/>
      <c r="K636" s="1138"/>
      <c r="L636" s="1138"/>
      <c r="M636" s="1138"/>
      <c r="N636" s="1138"/>
      <c r="O636" s="1138"/>
      <c r="P636" s="1138"/>
      <c r="Q636" s="1138"/>
      <c r="R636" s="1138"/>
      <c r="S636" s="1138"/>
      <c r="T636" s="1138"/>
      <c r="U636" s="1138"/>
      <c r="V636" s="1138"/>
      <c r="W636" s="1138"/>
      <c r="X636" s="1138"/>
      <c r="Y636" s="1138"/>
      <c r="Z636" s="1138"/>
      <c r="AA636" s="1138"/>
      <c r="AB636" s="1138"/>
      <c r="AC636" s="1138"/>
      <c r="AD636" s="1138"/>
      <c r="AE636" s="948"/>
      <c r="AF636" s="3035" t="s">
        <v>1767</v>
      </c>
      <c r="AG636" s="3035"/>
      <c r="AH636" s="3035"/>
      <c r="AI636" s="3035"/>
      <c r="AJ636" s="3035"/>
      <c r="AK636" s="3035"/>
      <c r="AL636" s="3036"/>
      <c r="AM636" s="1057"/>
      <c r="AN636" s="923"/>
      <c r="AO636" s="948"/>
      <c r="AP636" s="948"/>
    </row>
    <row r="637" spans="1:81" s="866" customFormat="1" ht="12.75" customHeight="1">
      <c r="A637" s="850"/>
      <c r="B637" s="51"/>
      <c r="C637" s="1124"/>
      <c r="D637" s="948"/>
      <c r="E637" s="948"/>
      <c r="F637" s="948"/>
      <c r="G637" s="948"/>
      <c r="H637" s="948"/>
      <c r="I637" s="948"/>
      <c r="J637" s="948"/>
      <c r="K637" s="948"/>
      <c r="L637" s="948"/>
      <c r="M637" s="948"/>
      <c r="N637" s="948"/>
      <c r="O637" s="948"/>
      <c r="P637" s="948"/>
      <c r="Q637" s="948"/>
      <c r="R637" s="948"/>
      <c r="S637" s="948"/>
      <c r="T637" s="948"/>
      <c r="U637" s="948"/>
      <c r="V637" s="948"/>
      <c r="W637" s="948"/>
      <c r="X637" s="948"/>
      <c r="Y637" s="948"/>
      <c r="Z637" s="948"/>
      <c r="AA637" s="948"/>
      <c r="AB637" s="948"/>
      <c r="AC637" s="948"/>
      <c r="AD637" s="948"/>
      <c r="AE637" s="948"/>
      <c r="AF637" s="948"/>
      <c r="AG637" s="948"/>
      <c r="AH637" s="948"/>
      <c r="AI637" s="948"/>
      <c r="AJ637" s="948"/>
      <c r="AK637" s="948"/>
      <c r="AL637" s="1116"/>
      <c r="AM637" s="1057"/>
      <c r="AN637" s="923"/>
      <c r="AO637" s="948"/>
      <c r="AP637" s="948"/>
    </row>
    <row r="638" spans="1:81" s="866" customFormat="1" ht="12.75" customHeight="1">
      <c r="A638" s="850"/>
      <c r="B638" s="51"/>
      <c r="C638" s="3030" t="s">
        <v>628</v>
      </c>
      <c r="D638" s="2972"/>
      <c r="E638" s="1101"/>
      <c r="F638" s="1137" t="s">
        <v>1785</v>
      </c>
      <c r="G638" s="1138"/>
      <c r="H638" s="1138"/>
      <c r="I638" s="1138"/>
      <c r="J638" s="1138"/>
      <c r="K638" s="1138"/>
      <c r="L638" s="1138"/>
      <c r="M638" s="1138"/>
      <c r="N638" s="1138"/>
      <c r="O638" s="1138"/>
      <c r="P638" s="1138"/>
      <c r="Q638" s="1138"/>
      <c r="R638" s="1138"/>
      <c r="S638" s="1138"/>
      <c r="T638" s="1138"/>
      <c r="U638" s="1138"/>
      <c r="V638" s="1138"/>
      <c r="W638" s="1138"/>
      <c r="X638" s="1138"/>
      <c r="Y638" s="1138"/>
      <c r="Z638" s="1138"/>
      <c r="AA638" s="1138"/>
      <c r="AB638" s="1138"/>
      <c r="AC638" s="1138"/>
      <c r="AD638" s="1138"/>
      <c r="AE638" s="948"/>
      <c r="AF638" s="3035" t="s">
        <v>1779</v>
      </c>
      <c r="AG638" s="3035"/>
      <c r="AH638" s="3035"/>
      <c r="AI638" s="3035"/>
      <c r="AJ638" s="3035"/>
      <c r="AK638" s="3035"/>
      <c r="AL638" s="3036"/>
      <c r="AM638" s="1057"/>
      <c r="AN638" s="923"/>
      <c r="AO638" s="1139"/>
      <c r="AP638" s="1139"/>
      <c r="BC638" s="51"/>
    </row>
    <row r="639" spans="1:81" s="866" customFormat="1" ht="12.75" customHeight="1">
      <c r="A639" s="850"/>
      <c r="B639" s="51"/>
      <c r="C639" s="1117"/>
      <c r="D639" s="1117"/>
      <c r="E639" s="1118"/>
      <c r="F639" s="1140"/>
      <c r="G639" s="1141"/>
      <c r="H639" s="1141"/>
      <c r="I639" s="1141"/>
      <c r="J639" s="1141"/>
      <c r="K639" s="1141"/>
      <c r="L639" s="1141"/>
      <c r="M639" s="1141"/>
      <c r="N639" s="1141"/>
      <c r="O639" s="1141"/>
      <c r="P639" s="1141"/>
      <c r="Q639" s="1141"/>
      <c r="R639" s="1141"/>
      <c r="S639" s="1141"/>
      <c r="T639" s="1141"/>
      <c r="U639" s="1141"/>
      <c r="V639" s="1141"/>
      <c r="W639" s="1141"/>
      <c r="X639" s="1141"/>
      <c r="Y639" s="1141"/>
      <c r="Z639" s="1141"/>
      <c r="AA639" s="1141"/>
      <c r="AB639" s="1141"/>
      <c r="AC639" s="1141"/>
      <c r="AD639" s="1141"/>
      <c r="AE639" s="1121"/>
      <c r="AF639" s="900"/>
      <c r="AG639" s="1121"/>
      <c r="AH639" s="1111"/>
      <c r="AI639" s="1111"/>
      <c r="AJ639" s="1111"/>
      <c r="AK639" s="1111"/>
      <c r="AL639" s="1142"/>
      <c r="AM639" s="1057"/>
      <c r="AN639" s="923"/>
      <c r="AO639" s="948"/>
      <c r="AP639" s="948"/>
    </row>
    <row r="640" spans="1:81" s="866" customFormat="1" ht="12.75" customHeight="1">
      <c r="A640" s="850"/>
      <c r="B640" s="51"/>
      <c r="C640" s="51"/>
      <c r="D640" s="51"/>
      <c r="E640" s="1069"/>
      <c r="F640" s="1143"/>
      <c r="G640" s="1144"/>
      <c r="H640" s="1144"/>
      <c r="I640" s="1144"/>
      <c r="J640" s="1144"/>
      <c r="K640" s="1144"/>
      <c r="L640" s="1144"/>
      <c r="M640" s="1144"/>
      <c r="N640" s="1144"/>
      <c r="O640" s="1144"/>
      <c r="P640" s="1144"/>
      <c r="Q640" s="1144"/>
      <c r="R640" s="1144"/>
      <c r="S640" s="1144"/>
      <c r="T640" s="1144"/>
      <c r="U640" s="1144"/>
      <c r="V640" s="1144"/>
      <c r="W640" s="1144"/>
      <c r="X640" s="1144"/>
      <c r="Y640" s="1144"/>
      <c r="Z640" s="1144"/>
      <c r="AA640" s="1144"/>
      <c r="AB640" s="1144"/>
      <c r="AC640" s="1144"/>
      <c r="AD640" s="1144"/>
      <c r="AE640" s="850"/>
      <c r="AF640" s="855"/>
      <c r="AG640" s="850"/>
      <c r="AM640" s="1057"/>
      <c r="AN640" s="923"/>
      <c r="AO640" s="948"/>
      <c r="AP640" s="948"/>
    </row>
    <row r="641" spans="1:60" s="866" customFormat="1" ht="12.75" customHeight="1">
      <c r="A641" s="850"/>
      <c r="B641" s="51"/>
      <c r="C641" s="1094" t="s">
        <v>1786</v>
      </c>
      <c r="D641" s="51"/>
      <c r="E641" s="1069"/>
      <c r="F641" s="1144"/>
      <c r="G641" s="1144"/>
      <c r="H641" s="1144"/>
      <c r="I641" s="1144"/>
      <c r="J641" s="1144"/>
      <c r="K641" s="1144"/>
      <c r="L641" s="1144"/>
      <c r="M641" s="1144"/>
      <c r="N641" s="1144"/>
      <c r="O641" s="1144"/>
      <c r="P641" s="1144"/>
      <c r="Q641" s="1144"/>
      <c r="R641" s="1144"/>
      <c r="S641" s="1144"/>
      <c r="T641" s="1144"/>
      <c r="U641" s="1144"/>
      <c r="V641" s="1144"/>
      <c r="W641" s="1144"/>
      <c r="X641" s="1144"/>
      <c r="Y641" s="1144"/>
      <c r="Z641" s="1144"/>
      <c r="AA641" s="1144"/>
      <c r="AB641" s="1144"/>
      <c r="AC641" s="1144"/>
      <c r="AD641" s="1144"/>
      <c r="AE641" s="850"/>
      <c r="AF641" s="855"/>
      <c r="AG641" s="850"/>
      <c r="AM641" s="1057"/>
      <c r="AN641" s="923"/>
      <c r="AO641" s="948"/>
      <c r="AP641" s="948"/>
    </row>
    <row r="642" spans="1:60" s="866" customFormat="1" ht="12.75" customHeight="1">
      <c r="A642" s="850"/>
      <c r="B642" s="51"/>
      <c r="C642" s="1095"/>
      <c r="D642" s="1096"/>
      <c r="E642" s="1097" t="s">
        <v>1787</v>
      </c>
      <c r="F642" s="3033" t="s">
        <v>1788</v>
      </c>
      <c r="G642" s="3033"/>
      <c r="H642" s="3033"/>
      <c r="I642" s="3033"/>
      <c r="J642" s="3033"/>
      <c r="K642" s="3033"/>
      <c r="L642" s="3033"/>
      <c r="M642" s="3033"/>
      <c r="N642" s="3033"/>
      <c r="O642" s="3033"/>
      <c r="P642" s="3033"/>
      <c r="Q642" s="3033"/>
      <c r="R642" s="3033"/>
      <c r="S642" s="3033"/>
      <c r="T642" s="3033"/>
      <c r="U642" s="3033"/>
      <c r="V642" s="3033"/>
      <c r="W642" s="3033"/>
      <c r="X642" s="3033"/>
      <c r="Y642" s="3033"/>
      <c r="Z642" s="3033"/>
      <c r="AA642" s="3033"/>
      <c r="AB642" s="3033"/>
      <c r="AC642" s="3033"/>
      <c r="AD642" s="3033"/>
      <c r="AE642" s="3033"/>
      <c r="AF642" s="1096"/>
      <c r="AG642" s="1096"/>
      <c r="AH642" s="1096"/>
      <c r="AI642" s="1096"/>
      <c r="AJ642" s="1096"/>
      <c r="AK642" s="1096"/>
      <c r="AL642" s="1132"/>
      <c r="AM642" s="1057"/>
      <c r="AN642" s="923"/>
      <c r="AO642" s="948"/>
      <c r="AP642" s="948"/>
    </row>
    <row r="643" spans="1:60" s="925" customFormat="1" ht="12.75" customHeight="1">
      <c r="A643" s="850"/>
      <c r="B643" s="51"/>
      <c r="C643" s="1115"/>
      <c r="D643" s="112"/>
      <c r="E643" s="1069"/>
      <c r="F643" s="3034"/>
      <c r="G643" s="3034"/>
      <c r="H643" s="3034"/>
      <c r="I643" s="3034"/>
      <c r="J643" s="3034"/>
      <c r="K643" s="3034"/>
      <c r="L643" s="3034"/>
      <c r="M643" s="3034"/>
      <c r="N643" s="3034"/>
      <c r="O643" s="3034"/>
      <c r="P643" s="3034"/>
      <c r="Q643" s="3034"/>
      <c r="R643" s="3034"/>
      <c r="S643" s="3034"/>
      <c r="T643" s="3034"/>
      <c r="U643" s="3034"/>
      <c r="V643" s="3034"/>
      <c r="W643" s="3034"/>
      <c r="X643" s="3034"/>
      <c r="Y643" s="3034"/>
      <c r="Z643" s="3034"/>
      <c r="AA643" s="3034"/>
      <c r="AB643" s="3034"/>
      <c r="AC643" s="3034"/>
      <c r="AD643" s="3034"/>
      <c r="AE643" s="3034"/>
      <c r="AF643" s="1136"/>
      <c r="AG643" s="914"/>
      <c r="AH643" s="948"/>
      <c r="AI643" s="948"/>
      <c r="AJ643" s="948"/>
      <c r="AK643" s="948"/>
      <c r="AL643" s="1116"/>
      <c r="AM643" s="1057"/>
      <c r="AN643" s="924"/>
      <c r="AO643" s="948"/>
      <c r="AP643" s="948"/>
    </row>
    <row r="644" spans="1:60" s="866" customFormat="1" ht="12.4" customHeight="1">
      <c r="A644" s="850"/>
      <c r="B644" s="51"/>
      <c r="C644" s="1115"/>
      <c r="D644" s="112"/>
      <c r="E644" s="1069"/>
      <c r="F644" s="3034"/>
      <c r="G644" s="3034"/>
      <c r="H644" s="3034"/>
      <c r="I644" s="3034"/>
      <c r="J644" s="3034"/>
      <c r="K644" s="3034"/>
      <c r="L644" s="3034"/>
      <c r="M644" s="3034"/>
      <c r="N644" s="3034"/>
      <c r="O644" s="3034"/>
      <c r="P644" s="3034"/>
      <c r="Q644" s="3034"/>
      <c r="R644" s="3034"/>
      <c r="S644" s="3034"/>
      <c r="T644" s="3034"/>
      <c r="U644" s="3034"/>
      <c r="V644" s="3034"/>
      <c r="W644" s="3034"/>
      <c r="X644" s="3034"/>
      <c r="Y644" s="3034"/>
      <c r="Z644" s="3034"/>
      <c r="AA644" s="3034"/>
      <c r="AB644" s="3034"/>
      <c r="AC644" s="3034"/>
      <c r="AD644" s="3034"/>
      <c r="AE644" s="3034"/>
      <c r="AF644" s="948"/>
      <c r="AG644" s="948"/>
      <c r="AH644" s="948"/>
      <c r="AI644" s="948"/>
      <c r="AJ644" s="948"/>
      <c r="AK644" s="948"/>
      <c r="AL644" s="1116"/>
      <c r="AM644" s="1057"/>
      <c r="AN644" s="923"/>
      <c r="AO644" s="948"/>
      <c r="AP644" s="948"/>
    </row>
    <row r="645" spans="1:60" s="866" customFormat="1" ht="12.75" customHeight="1">
      <c r="A645" s="850"/>
      <c r="B645" s="51"/>
      <c r="C645" s="3030" t="s">
        <v>628</v>
      </c>
      <c r="D645" s="2972"/>
      <c r="E645" s="1069"/>
      <c r="F645" s="1104" t="s">
        <v>1789</v>
      </c>
      <c r="G645" s="1145"/>
      <c r="H645" s="1145"/>
      <c r="I645" s="1145"/>
      <c r="J645" s="1145"/>
      <c r="K645" s="1145"/>
      <c r="L645" s="1145"/>
      <c r="M645" s="1145"/>
      <c r="N645" s="1145"/>
      <c r="O645" s="1145"/>
      <c r="P645" s="1145"/>
      <c r="Q645" s="1145"/>
      <c r="R645" s="1145"/>
      <c r="S645" s="1145"/>
      <c r="T645" s="1145"/>
      <c r="U645" s="1145"/>
      <c r="V645" s="1145"/>
      <c r="W645" s="1145"/>
      <c r="X645" s="1145"/>
      <c r="Y645" s="1145"/>
      <c r="Z645" s="1145"/>
      <c r="AA645" s="1145"/>
      <c r="AB645" s="1145"/>
      <c r="AC645" s="1145"/>
      <c r="AD645" s="1145"/>
      <c r="AE645" s="948"/>
      <c r="AF645" s="3035" t="s">
        <v>1767</v>
      </c>
      <c r="AG645" s="3035"/>
      <c r="AH645" s="3035"/>
      <c r="AI645" s="3035"/>
      <c r="AJ645" s="3035"/>
      <c r="AK645" s="3035"/>
      <c r="AL645" s="3036"/>
      <c r="AM645" s="1057"/>
      <c r="AN645" s="923"/>
      <c r="AO645" s="948"/>
      <c r="AP645" s="948"/>
    </row>
    <row r="646" spans="1:60" s="866" customFormat="1" ht="12.75" customHeight="1">
      <c r="A646" s="850"/>
      <c r="B646" s="51"/>
      <c r="C646" s="1128"/>
      <c r="D646" s="1111"/>
      <c r="E646" s="1108"/>
      <c r="F646" s="1126"/>
      <c r="G646" s="1110"/>
      <c r="H646" s="1110"/>
      <c r="I646" s="1110"/>
      <c r="J646" s="1110"/>
      <c r="K646" s="1110"/>
      <c r="L646" s="1110"/>
      <c r="M646" s="1110"/>
      <c r="N646" s="1110"/>
      <c r="O646" s="1110"/>
      <c r="P646" s="1110"/>
      <c r="Q646" s="1110"/>
      <c r="R646" s="1110"/>
      <c r="S646" s="1110"/>
      <c r="T646" s="1110"/>
      <c r="U646" s="1110"/>
      <c r="V646" s="1110"/>
      <c r="W646" s="1110"/>
      <c r="X646" s="1110"/>
      <c r="Y646" s="1110"/>
      <c r="Z646" s="1110"/>
      <c r="AA646" s="1110"/>
      <c r="AB646" s="1110"/>
      <c r="AC646" s="1110"/>
      <c r="AD646" s="1110"/>
      <c r="AE646" s="1111"/>
      <c r="AF646" s="1111"/>
      <c r="AG646" s="1111"/>
      <c r="AH646" s="1111"/>
      <c r="AI646" s="1111"/>
      <c r="AJ646" s="1111"/>
      <c r="AK646" s="1111"/>
      <c r="AL646" s="1127"/>
      <c r="AM646" s="1057"/>
      <c r="AN646" s="923"/>
      <c r="AO646" s="948"/>
      <c r="AP646" s="948"/>
    </row>
    <row r="647" spans="1:60" s="866" customFormat="1" ht="12.75" customHeight="1">
      <c r="A647" s="850"/>
      <c r="B647" s="51"/>
      <c r="C647" s="1114"/>
      <c r="D647" s="1114"/>
      <c r="E647" s="1101"/>
      <c r="F647" s="1146"/>
      <c r="G647" s="1129"/>
      <c r="H647" s="1129"/>
      <c r="I647" s="1129"/>
      <c r="J647" s="1129"/>
      <c r="K647" s="1129"/>
      <c r="L647" s="1129"/>
      <c r="M647" s="1129"/>
      <c r="N647" s="1129"/>
      <c r="O647" s="1129"/>
      <c r="P647" s="1129"/>
      <c r="Q647" s="1129"/>
      <c r="R647" s="1129"/>
      <c r="S647" s="1129"/>
      <c r="T647" s="1129"/>
      <c r="U647" s="1129"/>
      <c r="V647" s="1129"/>
      <c r="W647" s="1129"/>
      <c r="X647" s="1129"/>
      <c r="Y647" s="1129"/>
      <c r="Z647" s="1129"/>
      <c r="AA647" s="1129"/>
      <c r="AB647" s="1129"/>
      <c r="AC647" s="1129"/>
      <c r="AD647" s="1129"/>
      <c r="AE647" s="850"/>
      <c r="AM647" s="1057"/>
      <c r="AN647" s="923"/>
      <c r="AO647" s="948"/>
      <c r="AP647" s="948"/>
    </row>
    <row r="648" spans="1:60" ht="13.15" customHeight="1">
      <c r="A648" s="850"/>
      <c r="C648" s="1133"/>
      <c r="D648" s="1134"/>
      <c r="E648" s="1097" t="s">
        <v>1790</v>
      </c>
      <c r="F648" s="3033" t="s">
        <v>1791</v>
      </c>
      <c r="G648" s="3033"/>
      <c r="H648" s="3033"/>
      <c r="I648" s="3033"/>
      <c r="J648" s="3033"/>
      <c r="K648" s="3033"/>
      <c r="L648" s="3033"/>
      <c r="M648" s="3033"/>
      <c r="N648" s="3033"/>
      <c r="O648" s="3033"/>
      <c r="P648" s="3033"/>
      <c r="Q648" s="3033"/>
      <c r="R648" s="3033"/>
      <c r="S648" s="3033"/>
      <c r="T648" s="3033"/>
      <c r="U648" s="3033"/>
      <c r="V648" s="3033"/>
      <c r="W648" s="3033"/>
      <c r="X648" s="3033"/>
      <c r="Y648" s="3033"/>
      <c r="Z648" s="3033"/>
      <c r="AA648" s="3033"/>
      <c r="AB648" s="3033"/>
      <c r="AC648" s="3033"/>
      <c r="AD648" s="3033"/>
      <c r="AE648" s="3033"/>
      <c r="AF648" s="1134"/>
      <c r="AG648" s="1134"/>
      <c r="AH648" s="1134"/>
      <c r="AI648" s="1134"/>
      <c r="AJ648" s="1134"/>
      <c r="AK648" s="1134"/>
      <c r="AL648" s="1135"/>
      <c r="AM648" s="1057"/>
      <c r="AO648" s="948"/>
      <c r="AP648" s="948"/>
      <c r="BD648" s="51"/>
      <c r="BE648" s="51"/>
      <c r="BF648" s="51"/>
      <c r="BG648" s="51"/>
      <c r="BH648" s="51"/>
    </row>
    <row r="649" spans="1:60">
      <c r="A649" s="850"/>
      <c r="C649" s="1115"/>
      <c r="D649" s="112"/>
      <c r="E649" s="1069"/>
      <c r="F649" s="3034"/>
      <c r="G649" s="3034"/>
      <c r="H649" s="3034"/>
      <c r="I649" s="3034"/>
      <c r="J649" s="3034"/>
      <c r="K649" s="3034"/>
      <c r="L649" s="3034"/>
      <c r="M649" s="3034"/>
      <c r="N649" s="3034"/>
      <c r="O649" s="3034"/>
      <c r="P649" s="3034"/>
      <c r="Q649" s="3034"/>
      <c r="R649" s="3034"/>
      <c r="S649" s="3034"/>
      <c r="T649" s="3034"/>
      <c r="U649" s="3034"/>
      <c r="V649" s="3034"/>
      <c r="W649" s="3034"/>
      <c r="X649" s="3034"/>
      <c r="Y649" s="3034"/>
      <c r="Z649" s="3034"/>
      <c r="AA649" s="3034"/>
      <c r="AB649" s="3034"/>
      <c r="AC649" s="3034"/>
      <c r="AD649" s="3034"/>
      <c r="AE649" s="3034"/>
      <c r="AF649" s="1147"/>
      <c r="AG649" s="1147"/>
      <c r="AH649" s="1147"/>
      <c r="AI649" s="1147"/>
      <c r="AJ649" s="1147"/>
      <c r="AK649" s="1147"/>
      <c r="AL649" s="1148"/>
      <c r="AM649" s="1057"/>
      <c r="AO649" s="948"/>
      <c r="AP649" s="948"/>
    </row>
    <row r="650" spans="1:60" s="866" customFormat="1" ht="12.75" customHeight="1">
      <c r="A650" s="850"/>
      <c r="B650" s="51"/>
      <c r="C650" s="1115"/>
      <c r="D650" s="112"/>
      <c r="E650" s="1069"/>
      <c r="F650" s="3034"/>
      <c r="G650" s="3034"/>
      <c r="H650" s="3034"/>
      <c r="I650" s="3034"/>
      <c r="J650" s="3034"/>
      <c r="K650" s="3034"/>
      <c r="L650" s="3034"/>
      <c r="M650" s="3034"/>
      <c r="N650" s="3034"/>
      <c r="O650" s="3034"/>
      <c r="P650" s="3034"/>
      <c r="Q650" s="3034"/>
      <c r="R650" s="3034"/>
      <c r="S650" s="3034"/>
      <c r="T650" s="3034"/>
      <c r="U650" s="3034"/>
      <c r="V650" s="3034"/>
      <c r="W650" s="3034"/>
      <c r="X650" s="3034"/>
      <c r="Y650" s="3034"/>
      <c r="Z650" s="3034"/>
      <c r="AA650" s="3034"/>
      <c r="AB650" s="3034"/>
      <c r="AC650" s="3034"/>
      <c r="AD650" s="3034"/>
      <c r="AE650" s="3034"/>
      <c r="AF650" s="1147"/>
      <c r="AG650" s="1147"/>
      <c r="AH650" s="1147"/>
      <c r="AI650" s="1147"/>
      <c r="AJ650" s="1147"/>
      <c r="AK650" s="1147"/>
      <c r="AL650" s="1148"/>
      <c r="AM650" s="1057"/>
      <c r="AN650" s="923"/>
      <c r="AO650" s="948"/>
      <c r="AP650" s="948"/>
    </row>
    <row r="651" spans="1:60" s="866" customFormat="1" ht="12.75" customHeight="1">
      <c r="A651" s="850"/>
      <c r="B651" s="51"/>
      <c r="C651" s="1149"/>
      <c r="D651" s="1114"/>
      <c r="E651" s="1101"/>
      <c r="F651" s="3034"/>
      <c r="G651" s="3034"/>
      <c r="H651" s="3034"/>
      <c r="I651" s="3034"/>
      <c r="J651" s="3034"/>
      <c r="K651" s="3034"/>
      <c r="L651" s="3034"/>
      <c r="M651" s="3034"/>
      <c r="N651" s="3034"/>
      <c r="O651" s="3034"/>
      <c r="P651" s="3034"/>
      <c r="Q651" s="3034"/>
      <c r="R651" s="3034"/>
      <c r="S651" s="3034"/>
      <c r="T651" s="3034"/>
      <c r="U651" s="3034"/>
      <c r="V651" s="3034"/>
      <c r="W651" s="3034"/>
      <c r="X651" s="3034"/>
      <c r="Y651" s="3034"/>
      <c r="Z651" s="3034"/>
      <c r="AA651" s="3034"/>
      <c r="AB651" s="3034"/>
      <c r="AC651" s="3034"/>
      <c r="AD651" s="3034"/>
      <c r="AE651" s="3034"/>
      <c r="AF651" s="1147"/>
      <c r="AG651" s="1147"/>
      <c r="AH651" s="1147"/>
      <c r="AI651" s="1147"/>
      <c r="AJ651" s="1147"/>
      <c r="AK651" s="1147"/>
      <c r="AL651" s="1148"/>
      <c r="AM651" s="1057"/>
      <c r="AN651" s="923"/>
      <c r="AO651" s="1150"/>
      <c r="AP651" s="112"/>
    </row>
    <row r="652" spans="1:60" s="866" customFormat="1" ht="12.75" customHeight="1">
      <c r="A652" s="850"/>
      <c r="B652" s="51"/>
      <c r="C652" s="1149"/>
      <c r="D652" s="1114"/>
      <c r="E652" s="1101"/>
      <c r="F652" s="3034"/>
      <c r="G652" s="3034"/>
      <c r="H652" s="3034"/>
      <c r="I652" s="3034"/>
      <c r="J652" s="3034"/>
      <c r="K652" s="3034"/>
      <c r="L652" s="3034"/>
      <c r="M652" s="3034"/>
      <c r="N652" s="3034"/>
      <c r="O652" s="3034"/>
      <c r="P652" s="3034"/>
      <c r="Q652" s="3034"/>
      <c r="R652" s="3034"/>
      <c r="S652" s="3034"/>
      <c r="T652" s="3034"/>
      <c r="U652" s="3034"/>
      <c r="V652" s="3034"/>
      <c r="W652" s="3034"/>
      <c r="X652" s="3034"/>
      <c r="Y652" s="3034"/>
      <c r="Z652" s="3034"/>
      <c r="AA652" s="3034"/>
      <c r="AB652" s="3034"/>
      <c r="AC652" s="3034"/>
      <c r="AD652" s="3034"/>
      <c r="AE652" s="3034"/>
      <c r="AF652" s="1147"/>
      <c r="AG652" s="1147"/>
      <c r="AH652" s="1147"/>
      <c r="AI652" s="1147"/>
      <c r="AJ652" s="1147"/>
      <c r="AK652" s="1147"/>
      <c r="AL652" s="1148"/>
      <c r="AM652" s="1057"/>
      <c r="AN652" s="923"/>
      <c r="AO652" s="948"/>
      <c r="AP652" s="948"/>
    </row>
    <row r="653" spans="1:60" s="866" customFormat="1" ht="12.75" customHeight="1">
      <c r="A653" s="850"/>
      <c r="B653" s="51"/>
      <c r="C653" s="1149"/>
      <c r="D653" s="1114"/>
      <c r="E653" s="1101"/>
      <c r="F653" s="3034"/>
      <c r="G653" s="3034"/>
      <c r="H653" s="3034"/>
      <c r="I653" s="3034"/>
      <c r="J653" s="3034"/>
      <c r="K653" s="3034"/>
      <c r="L653" s="3034"/>
      <c r="M653" s="3034"/>
      <c r="N653" s="3034"/>
      <c r="O653" s="3034"/>
      <c r="P653" s="3034"/>
      <c r="Q653" s="3034"/>
      <c r="R653" s="3034"/>
      <c r="S653" s="3034"/>
      <c r="T653" s="3034"/>
      <c r="U653" s="3034"/>
      <c r="V653" s="3034"/>
      <c r="W653" s="3034"/>
      <c r="X653" s="3034"/>
      <c r="Y653" s="3034"/>
      <c r="Z653" s="3034"/>
      <c r="AA653" s="3034"/>
      <c r="AB653" s="3034"/>
      <c r="AC653" s="3034"/>
      <c r="AD653" s="3034"/>
      <c r="AE653" s="3034"/>
      <c r="AF653" s="1147"/>
      <c r="AG653" s="1147"/>
      <c r="AH653" s="1147"/>
      <c r="AI653" s="1147"/>
      <c r="AJ653" s="1147"/>
      <c r="AK653" s="1147"/>
      <c r="AL653" s="1148"/>
      <c r="AM653" s="1057"/>
      <c r="AN653" s="923"/>
    </row>
    <row r="654" spans="1:60" s="866" customFormat="1" ht="12.75" customHeight="1">
      <c r="A654" s="850"/>
      <c r="B654" s="51"/>
      <c r="C654" s="1149"/>
      <c r="D654" s="1114"/>
      <c r="E654" s="1101"/>
      <c r="F654" s="3034"/>
      <c r="G654" s="3034"/>
      <c r="H654" s="3034"/>
      <c r="I654" s="3034"/>
      <c r="J654" s="3034"/>
      <c r="K654" s="3034"/>
      <c r="L654" s="3034"/>
      <c r="M654" s="3034"/>
      <c r="N654" s="3034"/>
      <c r="O654" s="3034"/>
      <c r="P654" s="3034"/>
      <c r="Q654" s="3034"/>
      <c r="R654" s="3034"/>
      <c r="S654" s="3034"/>
      <c r="T654" s="3034"/>
      <c r="U654" s="3034"/>
      <c r="V654" s="3034"/>
      <c r="W654" s="3034"/>
      <c r="X654" s="3034"/>
      <c r="Y654" s="3034"/>
      <c r="Z654" s="3034"/>
      <c r="AA654" s="3034"/>
      <c r="AB654" s="3034"/>
      <c r="AC654" s="3034"/>
      <c r="AD654" s="3034"/>
      <c r="AE654" s="3034"/>
      <c r="AF654" s="1147"/>
      <c r="AG654" s="1147"/>
      <c r="AH654" s="1147"/>
      <c r="AI654" s="1147"/>
      <c r="AJ654" s="1147"/>
      <c r="AK654" s="1147"/>
      <c r="AL654" s="1148"/>
      <c r="AM654" s="1057"/>
      <c r="AN654" s="923"/>
    </row>
    <row r="655" spans="1:60" s="866" customFormat="1" ht="12.75" customHeight="1">
      <c r="A655" s="850"/>
      <c r="B655" s="51"/>
      <c r="C655" s="1149"/>
      <c r="D655" s="1114"/>
      <c r="E655" s="1101"/>
      <c r="F655" s="3034"/>
      <c r="G655" s="3034"/>
      <c r="H655" s="3034"/>
      <c r="I655" s="3034"/>
      <c r="J655" s="3034"/>
      <c r="K655" s="3034"/>
      <c r="L655" s="3034"/>
      <c r="M655" s="3034"/>
      <c r="N655" s="3034"/>
      <c r="O655" s="3034"/>
      <c r="P655" s="3034"/>
      <c r="Q655" s="3034"/>
      <c r="R655" s="3034"/>
      <c r="S655" s="3034"/>
      <c r="T655" s="3034"/>
      <c r="U655" s="3034"/>
      <c r="V655" s="3034"/>
      <c r="W655" s="3034"/>
      <c r="X655" s="3034"/>
      <c r="Y655" s="3034"/>
      <c r="Z655" s="3034"/>
      <c r="AA655" s="3034"/>
      <c r="AB655" s="3034"/>
      <c r="AC655" s="3034"/>
      <c r="AD655" s="3034"/>
      <c r="AE655" s="3034"/>
      <c r="AF655" s="1147"/>
      <c r="AG655" s="1147"/>
      <c r="AH655" s="1147"/>
      <c r="AI655" s="1147"/>
      <c r="AJ655" s="1147"/>
      <c r="AK655" s="1147"/>
      <c r="AL655" s="1148"/>
      <c r="AM655" s="1057"/>
      <c r="AN655" s="923"/>
    </row>
    <row r="656" spans="1:60" s="866" customFormat="1" ht="17.25" customHeight="1">
      <c r="A656" s="850"/>
      <c r="B656" s="51"/>
      <c r="C656" s="1149"/>
      <c r="D656" s="1114"/>
      <c r="E656" s="1101"/>
      <c r="F656" s="3034"/>
      <c r="G656" s="3034"/>
      <c r="H656" s="3034"/>
      <c r="I656" s="3034"/>
      <c r="J656" s="3034"/>
      <c r="K656" s="3034"/>
      <c r="L656" s="3034"/>
      <c r="M656" s="3034"/>
      <c r="N656" s="3034"/>
      <c r="O656" s="3034"/>
      <c r="P656" s="3034"/>
      <c r="Q656" s="3034"/>
      <c r="R656" s="3034"/>
      <c r="S656" s="3034"/>
      <c r="T656" s="3034"/>
      <c r="U656" s="3034"/>
      <c r="V656" s="3034"/>
      <c r="W656" s="3034"/>
      <c r="X656" s="3034"/>
      <c r="Y656" s="3034"/>
      <c r="Z656" s="3034"/>
      <c r="AA656" s="3034"/>
      <c r="AB656" s="3034"/>
      <c r="AC656" s="3034"/>
      <c r="AD656" s="3034"/>
      <c r="AE656" s="3034"/>
      <c r="AF656" s="948"/>
      <c r="AG656" s="948"/>
      <c r="AH656" s="948"/>
      <c r="AI656" s="948"/>
      <c r="AJ656" s="948"/>
      <c r="AK656" s="948"/>
      <c r="AL656" s="1116"/>
      <c r="AM656" s="1057"/>
      <c r="AN656" s="923"/>
    </row>
    <row r="657" spans="1:54" s="866" customFormat="1" ht="12.75" customHeight="1">
      <c r="A657" s="850"/>
      <c r="B657" s="51"/>
      <c r="C657" s="3030" t="s">
        <v>628</v>
      </c>
      <c r="D657" s="2972"/>
      <c r="E657" s="1101"/>
      <c r="F657" s="1139" t="s">
        <v>1792</v>
      </c>
      <c r="G657" s="1151"/>
      <c r="H657" s="1151"/>
      <c r="I657" s="1151"/>
      <c r="J657" s="1151"/>
      <c r="K657" s="1151"/>
      <c r="L657" s="1151"/>
      <c r="M657" s="1151"/>
      <c r="N657" s="1151"/>
      <c r="O657" s="1151"/>
      <c r="P657" s="1151"/>
      <c r="Q657" s="1151"/>
      <c r="R657" s="1151"/>
      <c r="S657" s="1151"/>
      <c r="T657" s="1151"/>
      <c r="U657" s="1151"/>
      <c r="V657" s="1151"/>
      <c r="W657" s="1151"/>
      <c r="X657" s="1151"/>
      <c r="Y657" s="1151"/>
      <c r="Z657" s="1151"/>
      <c r="AA657" s="1151"/>
      <c r="AB657" s="1151"/>
      <c r="AC657" s="1151"/>
      <c r="AD657" s="1151"/>
      <c r="AE657" s="948"/>
      <c r="AF657" s="3035" t="s">
        <v>1767</v>
      </c>
      <c r="AG657" s="3035"/>
      <c r="AH657" s="3035"/>
      <c r="AI657" s="3035"/>
      <c r="AJ657" s="3035"/>
      <c r="AK657" s="3035"/>
      <c r="AL657" s="3036"/>
      <c r="AM657" s="1057"/>
      <c r="AN657" s="923"/>
    </row>
    <row r="658" spans="1:54" s="866" customFormat="1" ht="12.75" customHeight="1">
      <c r="A658" s="850"/>
      <c r="B658" s="51"/>
      <c r="C658" s="1128"/>
      <c r="D658" s="1111"/>
      <c r="E658" s="1108"/>
      <c r="F658" s="1126"/>
      <c r="G658" s="1110"/>
      <c r="H658" s="1110"/>
      <c r="I658" s="1110"/>
      <c r="J658" s="1110"/>
      <c r="K658" s="1110"/>
      <c r="L658" s="1110"/>
      <c r="M658" s="1110"/>
      <c r="N658" s="1110"/>
      <c r="O658" s="1110"/>
      <c r="P658" s="1110"/>
      <c r="Q658" s="1110"/>
      <c r="R658" s="1110"/>
      <c r="S658" s="1110"/>
      <c r="T658" s="1110"/>
      <c r="U658" s="1110"/>
      <c r="V658" s="1110"/>
      <c r="W658" s="1110"/>
      <c r="X658" s="1110"/>
      <c r="Y658" s="1110"/>
      <c r="Z658" s="1110"/>
      <c r="AA658" s="1110"/>
      <c r="AB658" s="1110"/>
      <c r="AC658" s="1110"/>
      <c r="AD658" s="1110"/>
      <c r="AE658" s="1111"/>
      <c r="AF658" s="1111"/>
      <c r="AG658" s="1111"/>
      <c r="AH658" s="1111"/>
      <c r="AI658" s="1111"/>
      <c r="AJ658" s="1111"/>
      <c r="AK658" s="1111"/>
      <c r="AL658" s="1127"/>
      <c r="AM658" s="1057"/>
      <c r="AN658" s="923"/>
    </row>
    <row r="659" spans="1:54" s="866" customFormat="1" ht="12.75" customHeight="1">
      <c r="A659" s="850"/>
      <c r="B659" s="51"/>
      <c r="C659" s="1114"/>
      <c r="D659" s="1114"/>
      <c r="E659" s="1101"/>
      <c r="F659" s="1146"/>
      <c r="G659" s="1129"/>
      <c r="H659" s="1129"/>
      <c r="I659" s="1129"/>
      <c r="J659" s="1129"/>
      <c r="K659" s="1129"/>
      <c r="L659" s="1129"/>
      <c r="M659" s="1129"/>
      <c r="N659" s="1129"/>
      <c r="O659" s="1129"/>
      <c r="P659" s="1129"/>
      <c r="Q659" s="1129"/>
      <c r="R659" s="1129"/>
      <c r="S659" s="1129"/>
      <c r="T659" s="1129"/>
      <c r="U659" s="1129"/>
      <c r="V659" s="1129"/>
      <c r="W659" s="1129"/>
      <c r="X659" s="1129"/>
      <c r="Y659" s="1129"/>
      <c r="Z659" s="1129"/>
      <c r="AA659" s="1129"/>
      <c r="AB659" s="1129"/>
      <c r="AC659" s="1129"/>
      <c r="AD659" s="1129"/>
      <c r="AE659" s="908"/>
      <c r="AF659" s="908"/>
      <c r="AG659" s="908"/>
      <c r="AH659" s="908"/>
      <c r="AI659" s="908"/>
      <c r="AJ659" s="908"/>
      <c r="AK659" s="908"/>
      <c r="AL659" s="908"/>
      <c r="AM659" s="1057"/>
      <c r="AN659" s="923"/>
    </row>
    <row r="660" spans="1:54" s="866" customFormat="1" ht="12.75" customHeight="1">
      <c r="A660" s="850"/>
      <c r="B660" s="51"/>
      <c r="C660" s="1095"/>
      <c r="D660" s="1096"/>
      <c r="E660" s="1097" t="s">
        <v>1793</v>
      </c>
      <c r="F660" s="3033" t="s">
        <v>1794</v>
      </c>
      <c r="G660" s="3033"/>
      <c r="H660" s="3033"/>
      <c r="I660" s="3033"/>
      <c r="J660" s="3033"/>
      <c r="K660" s="3033"/>
      <c r="L660" s="3033"/>
      <c r="M660" s="3033"/>
      <c r="N660" s="3033"/>
      <c r="O660" s="3033"/>
      <c r="P660" s="3033"/>
      <c r="Q660" s="3033"/>
      <c r="R660" s="3033"/>
      <c r="S660" s="3033"/>
      <c r="T660" s="3033"/>
      <c r="U660" s="3033"/>
      <c r="V660" s="3033"/>
      <c r="W660" s="3033"/>
      <c r="X660" s="3033"/>
      <c r="Y660" s="3033"/>
      <c r="Z660" s="3033"/>
      <c r="AA660" s="3033"/>
      <c r="AB660" s="3033"/>
      <c r="AC660" s="3033"/>
      <c r="AD660" s="3033"/>
      <c r="AE660" s="3033"/>
      <c r="AF660" s="1096"/>
      <c r="AG660" s="1096"/>
      <c r="AH660" s="1096"/>
      <c r="AI660" s="1096"/>
      <c r="AJ660" s="1096"/>
      <c r="AK660" s="1096"/>
      <c r="AL660" s="1132"/>
      <c r="AM660" s="1057"/>
      <c r="AN660" s="923"/>
      <c r="AO660" s="866" t="s">
        <v>628</v>
      </c>
      <c r="AP660" s="948">
        <v>0</v>
      </c>
      <c r="AQ660" s="1152"/>
      <c r="AR660" s="925"/>
      <c r="AS660" s="925"/>
      <c r="AT660" s="925"/>
      <c r="AU660" s="925"/>
      <c r="AV660" s="925"/>
      <c r="AW660" s="925"/>
      <c r="AX660" s="925"/>
      <c r="AY660" s="925"/>
      <c r="AZ660" s="925"/>
      <c r="BA660" s="925"/>
      <c r="BB660" s="925"/>
    </row>
    <row r="661" spans="1:54" s="866" customFormat="1" ht="12.75" customHeight="1">
      <c r="A661" s="850"/>
      <c r="B661" s="51"/>
      <c r="C661" s="1149"/>
      <c r="D661" s="1114"/>
      <c r="E661" s="1101"/>
      <c r="F661" s="3034"/>
      <c r="G661" s="3034"/>
      <c r="H661" s="3034"/>
      <c r="I661" s="3034"/>
      <c r="J661" s="3034"/>
      <c r="K661" s="3034"/>
      <c r="L661" s="3034"/>
      <c r="M661" s="3034"/>
      <c r="N661" s="3034"/>
      <c r="O661" s="3034"/>
      <c r="P661" s="3034"/>
      <c r="Q661" s="3034"/>
      <c r="R661" s="3034"/>
      <c r="S661" s="3034"/>
      <c r="T661" s="3034"/>
      <c r="U661" s="3034"/>
      <c r="V661" s="3034"/>
      <c r="W661" s="3034"/>
      <c r="X661" s="3034"/>
      <c r="Y661" s="3034"/>
      <c r="Z661" s="3034"/>
      <c r="AA661" s="3034"/>
      <c r="AB661" s="3034"/>
      <c r="AC661" s="3034"/>
      <c r="AD661" s="3034"/>
      <c r="AE661" s="3034"/>
      <c r="AF661" s="1153"/>
      <c r="AG661" s="1153"/>
      <c r="AH661" s="1153"/>
      <c r="AI661" s="1153"/>
      <c r="AJ661" s="1153"/>
      <c r="AK661" s="1153"/>
      <c r="AL661" s="1103"/>
      <c r="AM661" s="1057"/>
      <c r="AN661" s="923"/>
      <c r="AO661" s="866" t="s">
        <v>1795</v>
      </c>
      <c r="AP661" s="866">
        <v>5</v>
      </c>
      <c r="AQ661" s="1152"/>
    </row>
    <row r="662" spans="1:54" s="866" customFormat="1" ht="12.75" customHeight="1">
      <c r="A662" s="850"/>
      <c r="B662" s="51"/>
      <c r="C662" s="1149"/>
      <c r="D662" s="1114"/>
      <c r="E662" s="1101"/>
      <c r="F662" s="3034"/>
      <c r="G662" s="3034"/>
      <c r="H662" s="3034"/>
      <c r="I662" s="3034"/>
      <c r="J662" s="3034"/>
      <c r="K662" s="3034"/>
      <c r="L662" s="3034"/>
      <c r="M662" s="3034"/>
      <c r="N662" s="3034"/>
      <c r="O662" s="3034"/>
      <c r="P662" s="3034"/>
      <c r="Q662" s="3034"/>
      <c r="R662" s="3034"/>
      <c r="S662" s="3034"/>
      <c r="T662" s="3034"/>
      <c r="U662" s="3034"/>
      <c r="V662" s="3034"/>
      <c r="W662" s="3034"/>
      <c r="X662" s="3034"/>
      <c r="Y662" s="3034"/>
      <c r="Z662" s="3034"/>
      <c r="AA662" s="3034"/>
      <c r="AB662" s="3034"/>
      <c r="AC662" s="3034"/>
      <c r="AD662" s="3034"/>
      <c r="AE662" s="3034"/>
      <c r="AF662" s="1153"/>
      <c r="AG662" s="1153"/>
      <c r="AH662" s="1153"/>
      <c r="AI662" s="1153"/>
      <c r="AJ662" s="1153"/>
      <c r="AK662" s="1153"/>
      <c r="AL662" s="1103"/>
      <c r="AM662" s="1057"/>
      <c r="AN662" s="923"/>
      <c r="AO662" s="866" t="s">
        <v>1796</v>
      </c>
      <c r="AP662" s="866">
        <v>5</v>
      </c>
      <c r="AQ662" s="1154"/>
    </row>
    <row r="663" spans="1:54" s="866" customFormat="1" ht="12.75" customHeight="1">
      <c r="A663" s="850"/>
      <c r="B663" s="51"/>
      <c r="C663" s="1149"/>
      <c r="D663" s="1114"/>
      <c r="E663" s="1101"/>
      <c r="F663" s="3034"/>
      <c r="G663" s="3034"/>
      <c r="H663" s="3034"/>
      <c r="I663" s="3034"/>
      <c r="J663" s="3034"/>
      <c r="K663" s="3034"/>
      <c r="L663" s="3034"/>
      <c r="M663" s="3034"/>
      <c r="N663" s="3034"/>
      <c r="O663" s="3034"/>
      <c r="P663" s="3034"/>
      <c r="Q663" s="3034"/>
      <c r="R663" s="3034"/>
      <c r="S663" s="3034"/>
      <c r="T663" s="3034"/>
      <c r="U663" s="3034"/>
      <c r="V663" s="3034"/>
      <c r="W663" s="3034"/>
      <c r="X663" s="3034"/>
      <c r="Y663" s="3034"/>
      <c r="Z663" s="3034"/>
      <c r="AA663" s="3034"/>
      <c r="AB663" s="3034"/>
      <c r="AC663" s="3034"/>
      <c r="AD663" s="3034"/>
      <c r="AE663" s="3034"/>
      <c r="AF663" s="948"/>
      <c r="AG663" s="948"/>
      <c r="AH663" s="948"/>
      <c r="AI663" s="948"/>
      <c r="AJ663" s="948"/>
      <c r="AK663" s="948"/>
      <c r="AL663" s="1116"/>
      <c r="AM663" s="1057"/>
      <c r="AN663" s="923"/>
      <c r="AO663" s="866" t="s">
        <v>1797</v>
      </c>
      <c r="AP663" s="866">
        <v>5</v>
      </c>
      <c r="AQ663" s="1155"/>
    </row>
    <row r="664" spans="1:54" s="948" customFormat="1" ht="12.75" customHeight="1">
      <c r="A664" s="850"/>
      <c r="B664" s="51"/>
      <c r="C664" s="3030" t="s">
        <v>628</v>
      </c>
      <c r="D664" s="2972"/>
      <c r="E664" s="1101"/>
      <c r="F664" s="1104" t="s">
        <v>1798</v>
      </c>
      <c r="G664" s="1105"/>
      <c r="H664" s="1105"/>
      <c r="I664" s="1105"/>
      <c r="J664" s="1105"/>
      <c r="K664" s="1105"/>
      <c r="L664" s="1105"/>
      <c r="M664" s="1105"/>
      <c r="N664" s="1105"/>
      <c r="O664" s="1105"/>
      <c r="P664" s="1105"/>
      <c r="Q664" s="1105"/>
      <c r="R664" s="1105"/>
      <c r="S664" s="1105"/>
      <c r="T664" s="1105"/>
      <c r="U664" s="1105"/>
      <c r="V664" s="1105"/>
      <c r="W664" s="1105"/>
      <c r="X664" s="1105"/>
      <c r="Y664" s="1105"/>
      <c r="Z664" s="1105"/>
      <c r="AA664" s="1105"/>
      <c r="AB664" s="1105"/>
      <c r="AC664" s="1105"/>
      <c r="AD664" s="1105"/>
      <c r="AF664" s="3035" t="s">
        <v>1767</v>
      </c>
      <c r="AG664" s="3035"/>
      <c r="AH664" s="3035"/>
      <c r="AI664" s="3035"/>
      <c r="AJ664" s="3035"/>
      <c r="AK664" s="3035"/>
      <c r="AL664" s="3036"/>
      <c r="AM664" s="1057"/>
      <c r="AN664" s="1156"/>
      <c r="AO664" s="866" t="s">
        <v>1799</v>
      </c>
      <c r="AP664" s="866">
        <v>5</v>
      </c>
      <c r="AQ664" s="866"/>
      <c r="AR664" s="866"/>
      <c r="AS664" s="866"/>
      <c r="AT664" s="866"/>
      <c r="AU664" s="866"/>
      <c r="AV664" s="866"/>
      <c r="AW664" s="866"/>
      <c r="AX664" s="866"/>
      <c r="AY664" s="866"/>
      <c r="AZ664" s="866"/>
      <c r="BA664" s="866"/>
      <c r="BB664" s="866"/>
    </row>
    <row r="665" spans="1:54" s="866" customFormat="1" ht="12.75" customHeight="1">
      <c r="A665" s="850"/>
      <c r="B665" s="51"/>
      <c r="C665" s="1149"/>
      <c r="D665" s="1114"/>
      <c r="E665" s="1101"/>
      <c r="F665" s="1104"/>
      <c r="G665" s="1105"/>
      <c r="H665" s="1105"/>
      <c r="I665" s="1105"/>
      <c r="J665" s="1105"/>
      <c r="K665" s="1105"/>
      <c r="L665" s="1105"/>
      <c r="M665" s="1105"/>
      <c r="N665" s="1105"/>
      <c r="O665" s="1105"/>
      <c r="P665" s="1105"/>
      <c r="Q665" s="1105"/>
      <c r="R665" s="1105"/>
      <c r="S665" s="1105"/>
      <c r="T665" s="1105"/>
      <c r="U665" s="1105"/>
      <c r="V665" s="1105"/>
      <c r="W665" s="1105"/>
      <c r="X665" s="1105"/>
      <c r="Y665" s="1105"/>
      <c r="Z665" s="1105"/>
      <c r="AA665" s="1105"/>
      <c r="AB665" s="1105"/>
      <c r="AC665" s="1105"/>
      <c r="AD665" s="1105"/>
      <c r="AE665" s="1153"/>
      <c r="AF665" s="948"/>
      <c r="AG665" s="948"/>
      <c r="AH665" s="948"/>
      <c r="AI665" s="948"/>
      <c r="AJ665" s="948"/>
      <c r="AK665" s="948"/>
      <c r="AL665" s="1116"/>
      <c r="AM665" s="1057"/>
      <c r="AN665" s="1156"/>
      <c r="AO665" s="866" t="s">
        <v>1800</v>
      </c>
      <c r="AP665" s="866">
        <v>5</v>
      </c>
    </row>
    <row r="666" spans="1:54" s="866" customFormat="1" ht="12.75" customHeight="1">
      <c r="A666" s="850"/>
      <c r="B666" s="51"/>
      <c r="C666" s="1125"/>
      <c r="D666" s="1117"/>
      <c r="E666" s="1118"/>
      <c r="F666" s="1111" t="s">
        <v>1774</v>
      </c>
      <c r="G666" s="1119"/>
      <c r="H666" s="1119"/>
      <c r="I666" s="1119"/>
      <c r="J666" s="1119"/>
      <c r="K666" s="1119"/>
      <c r="L666" s="1119"/>
      <c r="M666" s="1119"/>
      <c r="N666" s="1119"/>
      <c r="O666" s="1119"/>
      <c r="P666" s="1119"/>
      <c r="Q666" s="1119"/>
      <c r="R666" s="1119"/>
      <c r="S666" s="1119"/>
      <c r="T666" s="1119"/>
      <c r="U666" s="1119"/>
      <c r="V666" s="1119"/>
      <c r="W666" s="1119"/>
      <c r="X666" s="1119"/>
      <c r="Y666" s="1119"/>
      <c r="Z666" s="1119"/>
      <c r="AA666" s="1119"/>
      <c r="AB666" s="1119"/>
      <c r="AC666" s="1119"/>
      <c r="AD666" s="1119"/>
      <c r="AE666" s="1121"/>
      <c r="AF666" s="900"/>
      <c r="AG666" s="1121"/>
      <c r="AH666" s="1111"/>
      <c r="AI666" s="1111"/>
      <c r="AJ666" s="1111"/>
      <c r="AK666" s="1111"/>
      <c r="AL666" s="1127"/>
      <c r="AM666" s="1057"/>
      <c r="AN666" s="1156"/>
      <c r="AO666" s="866" t="s">
        <v>1801</v>
      </c>
      <c r="AP666" s="866">
        <v>5</v>
      </c>
    </row>
    <row r="667" spans="1:54" s="866" customFormat="1" ht="12.75" customHeight="1">
      <c r="A667" s="850"/>
      <c r="B667" s="51"/>
      <c r="C667" s="1114"/>
      <c r="D667" s="1114"/>
      <c r="E667" s="1101"/>
      <c r="F667" s="1146"/>
      <c r="G667" s="1129"/>
      <c r="H667" s="1129"/>
      <c r="I667" s="1129"/>
      <c r="J667" s="1129"/>
      <c r="K667" s="1129"/>
      <c r="L667" s="1129"/>
      <c r="M667" s="1129"/>
      <c r="N667" s="1129"/>
      <c r="O667" s="1129"/>
      <c r="P667" s="1129"/>
      <c r="Q667" s="1129"/>
      <c r="R667" s="1129"/>
      <c r="S667" s="1129"/>
      <c r="T667" s="1129"/>
      <c r="U667" s="1129"/>
      <c r="V667" s="1129"/>
      <c r="W667" s="1129"/>
      <c r="X667" s="1129"/>
      <c r="Y667" s="1129"/>
      <c r="Z667" s="1129"/>
      <c r="AA667" s="1129"/>
      <c r="AB667" s="1129"/>
      <c r="AC667" s="1129"/>
      <c r="AD667" s="1129"/>
      <c r="AE667" s="908"/>
      <c r="AM667" s="1057"/>
      <c r="AN667" s="1156"/>
      <c r="AO667" s="866" t="s">
        <v>1802</v>
      </c>
      <c r="AP667" s="866">
        <v>5</v>
      </c>
    </row>
    <row r="668" spans="1:54" s="925" customFormat="1" ht="12.75" customHeight="1">
      <c r="A668" s="850"/>
      <c r="B668" s="51"/>
      <c r="C668" s="3042" t="s">
        <v>628</v>
      </c>
      <c r="D668" s="3043"/>
      <c r="E668" s="1097" t="s">
        <v>1803</v>
      </c>
      <c r="F668" s="3033" t="s">
        <v>1804</v>
      </c>
      <c r="G668" s="3033"/>
      <c r="H668" s="3033"/>
      <c r="I668" s="3033"/>
      <c r="J668" s="3033"/>
      <c r="K668" s="3033"/>
      <c r="L668" s="3033"/>
      <c r="M668" s="3033"/>
      <c r="N668" s="3033"/>
      <c r="O668" s="3033"/>
      <c r="P668" s="3033"/>
      <c r="Q668" s="3033"/>
      <c r="R668" s="3033"/>
      <c r="S668" s="3033"/>
      <c r="T668" s="3033"/>
      <c r="U668" s="3033"/>
      <c r="V668" s="3033"/>
      <c r="W668" s="3033"/>
      <c r="X668" s="3033"/>
      <c r="Y668" s="3033"/>
      <c r="Z668" s="3033"/>
      <c r="AA668" s="3033"/>
      <c r="AB668" s="3033"/>
      <c r="AC668" s="3033"/>
      <c r="AD668" s="3033"/>
      <c r="AE668" s="3033"/>
      <c r="AF668" s="3040" t="s">
        <v>1767</v>
      </c>
      <c r="AG668" s="3040"/>
      <c r="AH668" s="3040"/>
      <c r="AI668" s="3040"/>
      <c r="AJ668" s="3040"/>
      <c r="AK668" s="3040"/>
      <c r="AL668" s="3041"/>
      <c r="AM668" s="1057"/>
      <c r="AN668" s="1156"/>
      <c r="AO668" s="866" t="s">
        <v>1805</v>
      </c>
      <c r="AP668" s="866">
        <v>1</v>
      </c>
      <c r="AQ668" s="866"/>
      <c r="AR668" s="866"/>
      <c r="AS668" s="866"/>
      <c r="AT668" s="866"/>
      <c r="AU668" s="866"/>
      <c r="AV668" s="866"/>
      <c r="AW668" s="866"/>
      <c r="AX668" s="866"/>
      <c r="AY668" s="866"/>
      <c r="AZ668" s="866"/>
      <c r="BA668" s="866"/>
      <c r="BB668" s="866"/>
    </row>
    <row r="669" spans="1:54" s="925" customFormat="1" ht="12.75" customHeight="1">
      <c r="A669" s="850"/>
      <c r="B669" s="51"/>
      <c r="C669" s="1149"/>
      <c r="D669" s="1114"/>
      <c r="E669" s="1101"/>
      <c r="F669" s="3034"/>
      <c r="G669" s="3034"/>
      <c r="H669" s="3034"/>
      <c r="I669" s="3034"/>
      <c r="J669" s="3034"/>
      <c r="K669" s="3034"/>
      <c r="L669" s="3034"/>
      <c r="M669" s="3034"/>
      <c r="N669" s="3034"/>
      <c r="O669" s="3034"/>
      <c r="P669" s="3034"/>
      <c r="Q669" s="3034"/>
      <c r="R669" s="3034"/>
      <c r="S669" s="3034"/>
      <c r="T669" s="3034"/>
      <c r="U669" s="3034"/>
      <c r="V669" s="3034"/>
      <c r="W669" s="3034"/>
      <c r="X669" s="3034"/>
      <c r="Y669" s="3034"/>
      <c r="Z669" s="3034"/>
      <c r="AA669" s="3034"/>
      <c r="AB669" s="3034"/>
      <c r="AC669" s="3034"/>
      <c r="AD669" s="3034"/>
      <c r="AE669" s="3034"/>
      <c r="AF669" s="1153"/>
      <c r="AG669" s="1153"/>
      <c r="AH669" s="1153"/>
      <c r="AI669" s="1153"/>
      <c r="AJ669" s="1153"/>
      <c r="AK669" s="1153"/>
      <c r="AL669" s="1103"/>
      <c r="AM669" s="1057"/>
      <c r="AN669" s="1157"/>
      <c r="AO669" s="866"/>
      <c r="AP669" s="866"/>
      <c r="AQ669" s="866"/>
      <c r="AR669" s="866"/>
      <c r="AS669" s="1158"/>
      <c r="AT669" s="866"/>
      <c r="AU669" s="866"/>
      <c r="AV669" s="866"/>
      <c r="AW669" s="1158" t="s">
        <v>1806</v>
      </c>
      <c r="AX669" s="866"/>
      <c r="AY669" s="866"/>
      <c r="AZ669" s="866"/>
      <c r="BA669" s="1158" t="s">
        <v>1807</v>
      </c>
      <c r="BB669" s="866"/>
    </row>
    <row r="670" spans="1:54" s="866" customFormat="1" ht="17.649999999999999" customHeight="1">
      <c r="A670" s="850"/>
      <c r="B670" s="51"/>
      <c r="C670" s="1159"/>
      <c r="D670" s="1107"/>
      <c r="E670" s="1108"/>
      <c r="F670" s="3037"/>
      <c r="G670" s="3037"/>
      <c r="H670" s="3037"/>
      <c r="I670" s="3037"/>
      <c r="J670" s="3037"/>
      <c r="K670" s="3037"/>
      <c r="L670" s="3037"/>
      <c r="M670" s="3037"/>
      <c r="N670" s="3037"/>
      <c r="O670" s="3037"/>
      <c r="P670" s="3037"/>
      <c r="Q670" s="3037"/>
      <c r="R670" s="3037"/>
      <c r="S670" s="3037"/>
      <c r="T670" s="3037"/>
      <c r="U670" s="3037"/>
      <c r="V670" s="3037"/>
      <c r="W670" s="3037"/>
      <c r="X670" s="3037"/>
      <c r="Y670" s="3037"/>
      <c r="Z670" s="3037"/>
      <c r="AA670" s="3037"/>
      <c r="AB670" s="3037"/>
      <c r="AC670" s="3037"/>
      <c r="AD670" s="3037"/>
      <c r="AE670" s="3037"/>
      <c r="AF670" s="1112"/>
      <c r="AG670" s="1112"/>
      <c r="AH670" s="1112"/>
      <c r="AI670" s="1112"/>
      <c r="AJ670" s="1112"/>
      <c r="AK670" s="1112"/>
      <c r="AL670" s="1160"/>
      <c r="AM670" s="1057"/>
      <c r="AN670" s="1161"/>
      <c r="AO670" s="866" t="s">
        <v>628</v>
      </c>
      <c r="AP670" s="991">
        <v>0</v>
      </c>
      <c r="AR670" s="866" t="s">
        <v>628</v>
      </c>
      <c r="AS670" s="991">
        <v>0</v>
      </c>
      <c r="AT670" s="1162"/>
      <c r="AW670" s="866" t="s">
        <v>628</v>
      </c>
      <c r="AX670" s="1162">
        <v>0</v>
      </c>
      <c r="BA670" s="866" t="s">
        <v>628</v>
      </c>
      <c r="BB670" s="1162">
        <v>0</v>
      </c>
    </row>
    <row r="671" spans="1:54" s="866" customFormat="1" ht="12.75" customHeight="1">
      <c r="A671" s="850"/>
      <c r="B671" s="51"/>
      <c r="C671" s="1114"/>
      <c r="D671" s="1114"/>
      <c r="E671" s="1101"/>
      <c r="F671" s="1146"/>
      <c r="G671" s="1129"/>
      <c r="H671" s="1129"/>
      <c r="I671" s="1129"/>
      <c r="J671" s="1129"/>
      <c r="K671" s="1129"/>
      <c r="L671" s="1129"/>
      <c r="M671" s="1129"/>
      <c r="N671" s="1129"/>
      <c r="O671" s="1129"/>
      <c r="P671" s="1129"/>
      <c r="Q671" s="1129"/>
      <c r="R671" s="1129"/>
      <c r="S671" s="1129"/>
      <c r="T671" s="1129"/>
      <c r="U671" s="1129"/>
      <c r="V671" s="1129"/>
      <c r="W671" s="1129"/>
      <c r="X671" s="1129"/>
      <c r="Y671" s="1129"/>
      <c r="Z671" s="1129"/>
      <c r="AA671" s="1129"/>
      <c r="AB671" s="1129"/>
      <c r="AC671" s="1129"/>
      <c r="AD671" s="1129"/>
      <c r="AE671" s="908"/>
      <c r="AM671" s="1057"/>
      <c r="AN671" s="1163"/>
      <c r="AO671" s="1164">
        <v>7.0000000000000007E-2</v>
      </c>
      <c r="AP671" s="991">
        <v>3</v>
      </c>
      <c r="AR671" s="866" t="s">
        <v>1808</v>
      </c>
      <c r="AS671" s="991">
        <v>3</v>
      </c>
      <c r="AT671" s="1162"/>
      <c r="AW671" s="1164">
        <v>0.4</v>
      </c>
      <c r="AX671" s="1162">
        <v>3</v>
      </c>
      <c r="BA671" s="1164">
        <v>0.4</v>
      </c>
      <c r="BB671" s="1162">
        <v>4</v>
      </c>
    </row>
    <row r="672" spans="1:54" s="866" customFormat="1" ht="12.75" customHeight="1">
      <c r="A672" s="850"/>
      <c r="B672" s="51"/>
      <c r="C672" s="3030" t="s">
        <v>628</v>
      </c>
      <c r="D672" s="2972"/>
      <c r="E672" s="1097" t="s">
        <v>1809</v>
      </c>
      <c r="F672" s="3033" t="s">
        <v>1810</v>
      </c>
      <c r="G672" s="3033"/>
      <c r="H672" s="3033"/>
      <c r="I672" s="3033"/>
      <c r="J672" s="3033"/>
      <c r="K672" s="3033"/>
      <c r="L672" s="3033"/>
      <c r="M672" s="3033"/>
      <c r="N672" s="3033"/>
      <c r="O672" s="3033"/>
      <c r="P672" s="3033"/>
      <c r="Q672" s="3033"/>
      <c r="R672" s="3033"/>
      <c r="S672" s="3033"/>
      <c r="T672" s="3033"/>
      <c r="U672" s="3033"/>
      <c r="V672" s="3033"/>
      <c r="W672" s="3033"/>
      <c r="X672" s="3033"/>
      <c r="Y672" s="3033"/>
      <c r="Z672" s="3033"/>
      <c r="AA672" s="3033"/>
      <c r="AB672" s="3033"/>
      <c r="AC672" s="3033"/>
      <c r="AD672" s="3033"/>
      <c r="AE672" s="3033"/>
      <c r="AF672" s="3040" t="s">
        <v>1767</v>
      </c>
      <c r="AG672" s="3040"/>
      <c r="AH672" s="3040"/>
      <c r="AI672" s="3040"/>
      <c r="AJ672" s="3040"/>
      <c r="AK672" s="3040"/>
      <c r="AL672" s="3041"/>
      <c r="AM672" s="1057"/>
      <c r="AN672" s="1163"/>
      <c r="AO672" s="1164">
        <v>0.12</v>
      </c>
      <c r="AP672" s="991">
        <v>5</v>
      </c>
      <c r="AR672" s="866" t="s">
        <v>1811</v>
      </c>
      <c r="AS672" s="991">
        <v>5</v>
      </c>
      <c r="AT672" s="1162"/>
      <c r="AW672" s="1164">
        <v>0.6</v>
      </c>
      <c r="AX672" s="1162">
        <v>4</v>
      </c>
      <c r="BA672" s="1164">
        <v>0.6</v>
      </c>
      <c r="BB672" s="1162">
        <v>5</v>
      </c>
    </row>
    <row r="673" spans="1:54" s="866" customFormat="1" ht="12.75" customHeight="1">
      <c r="A673" s="850"/>
      <c r="B673" s="51"/>
      <c r="C673" s="1115"/>
      <c r="D673" s="112"/>
      <c r="E673" s="1069"/>
      <c r="F673" s="3034"/>
      <c r="G673" s="3034"/>
      <c r="H673" s="3034"/>
      <c r="I673" s="3034"/>
      <c r="J673" s="3034"/>
      <c r="K673" s="3034"/>
      <c r="L673" s="3034"/>
      <c r="M673" s="3034"/>
      <c r="N673" s="3034"/>
      <c r="O673" s="3034"/>
      <c r="P673" s="3034"/>
      <c r="Q673" s="3034"/>
      <c r="R673" s="3034"/>
      <c r="S673" s="3034"/>
      <c r="T673" s="3034"/>
      <c r="U673" s="3034"/>
      <c r="V673" s="3034"/>
      <c r="W673" s="3034"/>
      <c r="X673" s="3034"/>
      <c r="Y673" s="3034"/>
      <c r="Z673" s="3034"/>
      <c r="AA673" s="3034"/>
      <c r="AB673" s="3034"/>
      <c r="AC673" s="3034"/>
      <c r="AD673" s="3034"/>
      <c r="AE673" s="3034"/>
      <c r="AF673" s="1136"/>
      <c r="AG673" s="914"/>
      <c r="AH673" s="948"/>
      <c r="AI673" s="948"/>
      <c r="AJ673" s="948"/>
      <c r="AK673" s="948"/>
      <c r="AL673" s="1116"/>
      <c r="AM673" s="1057"/>
      <c r="AN673" s="1163"/>
      <c r="AO673" s="1164"/>
      <c r="AP673" s="1162"/>
      <c r="AS673" s="1164"/>
      <c r="AT673" s="1162"/>
      <c r="AW673" s="1164">
        <v>0.8</v>
      </c>
      <c r="AX673" s="1162">
        <v>5</v>
      </c>
      <c r="BA673" s="1164"/>
      <c r="BB673" s="1162"/>
    </row>
    <row r="674" spans="1:54" s="866" customFormat="1" ht="12.75" customHeight="1">
      <c r="A674" s="850"/>
      <c r="B674" s="51"/>
      <c r="C674" s="1115"/>
      <c r="D674" s="112"/>
      <c r="E674" s="1069"/>
      <c r="F674" s="3034"/>
      <c r="G674" s="3034"/>
      <c r="H674" s="3034"/>
      <c r="I674" s="3034"/>
      <c r="J674" s="3034"/>
      <c r="K674" s="3034"/>
      <c r="L674" s="3034"/>
      <c r="M674" s="3034"/>
      <c r="N674" s="3034"/>
      <c r="O674" s="3034"/>
      <c r="P674" s="3034"/>
      <c r="Q674" s="3034"/>
      <c r="R674" s="3034"/>
      <c r="S674" s="3034"/>
      <c r="T674" s="3034"/>
      <c r="U674" s="3034"/>
      <c r="V674" s="3034"/>
      <c r="W674" s="3034"/>
      <c r="X674" s="3034"/>
      <c r="Y674" s="3034"/>
      <c r="Z674" s="3034"/>
      <c r="AA674" s="3034"/>
      <c r="AB674" s="3034"/>
      <c r="AC674" s="3034"/>
      <c r="AD674" s="3034"/>
      <c r="AE674" s="3034"/>
      <c r="AF674" s="1136"/>
      <c r="AG674" s="914"/>
      <c r="AH674" s="948"/>
      <c r="AI674" s="948"/>
      <c r="AJ674" s="948"/>
      <c r="AK674" s="948"/>
      <c r="AL674" s="1116"/>
      <c r="AM674" s="1057"/>
      <c r="AN674" s="1163"/>
      <c r="AO674" s="866" t="s">
        <v>628</v>
      </c>
      <c r="AP674" s="991">
        <v>0</v>
      </c>
      <c r="AW674" s="1164"/>
      <c r="AX674" s="1162"/>
    </row>
    <row r="675" spans="1:54" s="866" customFormat="1" ht="12.75" customHeight="1">
      <c r="A675" s="850"/>
      <c r="B675" s="51"/>
      <c r="C675" s="1159"/>
      <c r="D675" s="1107"/>
      <c r="E675" s="1108"/>
      <c r="F675" s="3037"/>
      <c r="G675" s="3037"/>
      <c r="H675" s="3037"/>
      <c r="I675" s="3037"/>
      <c r="J675" s="3037"/>
      <c r="K675" s="3037"/>
      <c r="L675" s="3037"/>
      <c r="M675" s="3037"/>
      <c r="N675" s="3037"/>
      <c r="O675" s="3037"/>
      <c r="P675" s="3037"/>
      <c r="Q675" s="3037"/>
      <c r="R675" s="3037"/>
      <c r="S675" s="3037"/>
      <c r="T675" s="3037"/>
      <c r="U675" s="3037"/>
      <c r="V675" s="3037"/>
      <c r="W675" s="3037"/>
      <c r="X675" s="3037"/>
      <c r="Y675" s="3037"/>
      <c r="Z675" s="3037"/>
      <c r="AA675" s="3037"/>
      <c r="AB675" s="3037"/>
      <c r="AC675" s="3037"/>
      <c r="AD675" s="3037"/>
      <c r="AE675" s="3037"/>
      <c r="AF675" s="1112"/>
      <c r="AG675" s="1112"/>
      <c r="AH675" s="1112"/>
      <c r="AI675" s="1112"/>
      <c r="AJ675" s="1112"/>
      <c r="AK675" s="1112"/>
      <c r="AL675" s="1160"/>
      <c r="AM675" s="1057"/>
      <c r="AN675" s="923"/>
      <c r="AO675" s="1164">
        <v>0.09</v>
      </c>
      <c r="AP675" s="991">
        <v>3</v>
      </c>
      <c r="AS675" s="1158"/>
    </row>
    <row r="676" spans="1:54" s="866" customFormat="1" ht="12.75" customHeight="1">
      <c r="A676" s="850"/>
      <c r="B676" s="51"/>
      <c r="C676" s="948"/>
      <c r="D676" s="948"/>
      <c r="E676" s="948"/>
      <c r="F676" s="948"/>
      <c r="G676" s="1138"/>
      <c r="H676" s="1138"/>
      <c r="I676" s="1138"/>
      <c r="J676" s="1138"/>
      <c r="K676" s="1138"/>
      <c r="L676" s="1138"/>
      <c r="M676" s="1138"/>
      <c r="N676" s="1138"/>
      <c r="O676" s="1138"/>
      <c r="P676" s="1138"/>
      <c r="Q676" s="1138"/>
      <c r="R676" s="1138"/>
      <c r="S676" s="1138"/>
      <c r="T676" s="1138"/>
      <c r="U676" s="1138"/>
      <c r="V676" s="1138"/>
      <c r="W676" s="1138"/>
      <c r="X676" s="1138"/>
      <c r="Y676" s="1138"/>
      <c r="Z676" s="1138"/>
      <c r="AA676" s="1138"/>
      <c r="AB676" s="1138"/>
      <c r="AC676" s="1138"/>
      <c r="AD676" s="1138"/>
      <c r="AE676" s="948"/>
      <c r="AF676" s="948"/>
      <c r="AG676" s="948"/>
      <c r="AH676" s="948"/>
      <c r="AI676" s="948"/>
      <c r="AJ676" s="948"/>
      <c r="AK676" s="948"/>
      <c r="AL676" s="948"/>
      <c r="AM676" s="1057"/>
      <c r="AN676" s="923"/>
      <c r="AO676" s="1164">
        <v>0.15</v>
      </c>
      <c r="AP676" s="991">
        <v>5</v>
      </c>
    </row>
    <row r="677" spans="1:54" s="866" customFormat="1" ht="12.75" customHeight="1">
      <c r="A677" s="850"/>
      <c r="B677" s="51"/>
      <c r="C677" s="1165"/>
      <c r="D677" s="1166"/>
      <c r="E677" s="1097" t="s">
        <v>1812</v>
      </c>
      <c r="F677" s="3038" t="s">
        <v>1813</v>
      </c>
      <c r="G677" s="3038"/>
      <c r="H677" s="3038"/>
      <c r="I677" s="3038"/>
      <c r="J677" s="3038"/>
      <c r="K677" s="3038"/>
      <c r="L677" s="3038"/>
      <c r="M677" s="3038"/>
      <c r="N677" s="3038"/>
      <c r="O677" s="3038"/>
      <c r="P677" s="3038"/>
      <c r="Q677" s="3038"/>
      <c r="R677" s="3038"/>
      <c r="S677" s="3038"/>
      <c r="T677" s="3038"/>
      <c r="U677" s="3038"/>
      <c r="V677" s="3038"/>
      <c r="W677" s="3038"/>
      <c r="X677" s="3038"/>
      <c r="Y677" s="3038"/>
      <c r="Z677" s="3038"/>
      <c r="AA677" s="3038"/>
      <c r="AB677" s="3038"/>
      <c r="AC677" s="3038"/>
      <c r="AD677" s="3038"/>
      <c r="AE677" s="3038"/>
      <c r="AF677" s="3038"/>
      <c r="AG677" s="1131"/>
      <c r="AH677" s="1096"/>
      <c r="AI677" s="1096"/>
      <c r="AJ677" s="1096"/>
      <c r="AK677" s="1096"/>
      <c r="AL677" s="1132"/>
      <c r="AM677" s="1057"/>
      <c r="AN677" s="923"/>
    </row>
    <row r="678" spans="1:54" s="866" customFormat="1" ht="12.75" customHeight="1">
      <c r="A678" s="850"/>
      <c r="B678" s="51"/>
      <c r="C678" s="1115"/>
      <c r="D678" s="112"/>
      <c r="E678" s="1069"/>
      <c r="F678" s="3039"/>
      <c r="G678" s="3039"/>
      <c r="H678" s="3039"/>
      <c r="I678" s="3039"/>
      <c r="J678" s="3039"/>
      <c r="K678" s="3039"/>
      <c r="L678" s="3039"/>
      <c r="M678" s="3039"/>
      <c r="N678" s="3039"/>
      <c r="O678" s="3039"/>
      <c r="P678" s="3039"/>
      <c r="Q678" s="3039"/>
      <c r="R678" s="3039"/>
      <c r="S678" s="3039"/>
      <c r="T678" s="3039"/>
      <c r="U678" s="3039"/>
      <c r="V678" s="3039"/>
      <c r="W678" s="3039"/>
      <c r="X678" s="3039"/>
      <c r="Y678" s="3039"/>
      <c r="Z678" s="3039"/>
      <c r="AA678" s="3039"/>
      <c r="AB678" s="3039"/>
      <c r="AC678" s="3039"/>
      <c r="AD678" s="3039"/>
      <c r="AE678" s="3039"/>
      <c r="AF678" s="3039"/>
      <c r="AG678" s="948"/>
      <c r="AH678" s="948"/>
      <c r="AI678" s="948"/>
      <c r="AJ678" s="948"/>
      <c r="AK678" s="948"/>
      <c r="AL678" s="1116"/>
      <c r="AM678" s="1057"/>
      <c r="AN678" s="923"/>
    </row>
    <row r="679" spans="1:54" s="866" customFormat="1" ht="12.75" customHeight="1">
      <c r="A679" s="850"/>
      <c r="B679" s="51"/>
      <c r="C679" s="1124"/>
      <c r="D679" s="948"/>
      <c r="E679" s="948"/>
      <c r="F679" s="3039"/>
      <c r="G679" s="3039"/>
      <c r="H679" s="3039"/>
      <c r="I679" s="3039"/>
      <c r="J679" s="3039"/>
      <c r="K679" s="3039"/>
      <c r="L679" s="3039"/>
      <c r="M679" s="3039"/>
      <c r="N679" s="3039"/>
      <c r="O679" s="3039"/>
      <c r="P679" s="3039"/>
      <c r="Q679" s="3039"/>
      <c r="R679" s="3039"/>
      <c r="S679" s="3039"/>
      <c r="T679" s="3039"/>
      <c r="U679" s="3039"/>
      <c r="V679" s="3039"/>
      <c r="W679" s="3039"/>
      <c r="X679" s="3039"/>
      <c r="Y679" s="3039"/>
      <c r="Z679" s="3039"/>
      <c r="AA679" s="3039"/>
      <c r="AB679" s="3039"/>
      <c r="AC679" s="3039"/>
      <c r="AD679" s="3039"/>
      <c r="AE679" s="3039"/>
      <c r="AF679" s="3039"/>
      <c r="AG679" s="948"/>
      <c r="AH679" s="948"/>
      <c r="AI679" s="948"/>
      <c r="AJ679" s="948"/>
      <c r="AK679" s="948"/>
      <c r="AL679" s="1116"/>
      <c r="AM679" s="1057"/>
      <c r="AN679" s="923"/>
    </row>
    <row r="680" spans="1:54" s="866" customFormat="1" ht="12.75" customHeight="1">
      <c r="A680" s="850"/>
      <c r="B680" s="51"/>
      <c r="C680" s="1124"/>
      <c r="D680" s="948"/>
      <c r="E680" s="948"/>
      <c r="F680" s="3039"/>
      <c r="G680" s="3039"/>
      <c r="H680" s="3039"/>
      <c r="I680" s="3039"/>
      <c r="J680" s="3039"/>
      <c r="K680" s="3039"/>
      <c r="L680" s="3039"/>
      <c r="M680" s="3039"/>
      <c r="N680" s="3039"/>
      <c r="O680" s="3039"/>
      <c r="P680" s="3039"/>
      <c r="Q680" s="3039"/>
      <c r="R680" s="3039"/>
      <c r="S680" s="3039"/>
      <c r="T680" s="3039"/>
      <c r="U680" s="3039"/>
      <c r="V680" s="3039"/>
      <c r="W680" s="3039"/>
      <c r="X680" s="3039"/>
      <c r="Y680" s="3039"/>
      <c r="Z680" s="3039"/>
      <c r="AA680" s="3039"/>
      <c r="AB680" s="3039"/>
      <c r="AC680" s="3039"/>
      <c r="AD680" s="3039"/>
      <c r="AE680" s="3039"/>
      <c r="AF680" s="3039"/>
      <c r="AG680" s="948"/>
      <c r="AH680" s="948"/>
      <c r="AI680" s="948"/>
      <c r="AJ680" s="948"/>
      <c r="AK680" s="948"/>
      <c r="AL680" s="1116"/>
      <c r="AM680" s="1057"/>
      <c r="AN680" s="923"/>
    </row>
    <row r="681" spans="1:54" s="866" customFormat="1" ht="12.75" customHeight="1">
      <c r="A681" s="850"/>
      <c r="B681" s="51"/>
      <c r="C681" s="3030" t="s">
        <v>628</v>
      </c>
      <c r="D681" s="2972"/>
      <c r="E681" s="1101"/>
      <c r="F681" s="1137" t="s">
        <v>1784</v>
      </c>
      <c r="G681" s="1138"/>
      <c r="H681" s="1138"/>
      <c r="I681" s="1138"/>
      <c r="J681" s="1138"/>
      <c r="K681" s="1138"/>
      <c r="L681" s="1138"/>
      <c r="M681" s="1138"/>
      <c r="N681" s="1138"/>
      <c r="O681" s="1138"/>
      <c r="P681" s="1138"/>
      <c r="Q681" s="1138"/>
      <c r="R681" s="1138"/>
      <c r="S681" s="1138"/>
      <c r="T681" s="1138"/>
      <c r="U681" s="1138"/>
      <c r="V681" s="1138"/>
      <c r="W681" s="1138"/>
      <c r="X681" s="1138"/>
      <c r="Y681" s="1138"/>
      <c r="Z681" s="1138"/>
      <c r="AA681" s="1138"/>
      <c r="AB681" s="1138"/>
      <c r="AC681" s="1138"/>
      <c r="AD681" s="1138"/>
      <c r="AE681" s="948"/>
      <c r="AF681" s="3031" t="s">
        <v>1767</v>
      </c>
      <c r="AG681" s="3031"/>
      <c r="AH681" s="3031"/>
      <c r="AI681" s="3031"/>
      <c r="AJ681" s="3031"/>
      <c r="AK681" s="3031"/>
      <c r="AL681" s="3032"/>
      <c r="AM681" s="1057"/>
      <c r="AN681" s="923"/>
    </row>
    <row r="682" spans="1:54" s="866" customFormat="1" ht="12.75" customHeight="1">
      <c r="A682" s="850"/>
      <c r="B682" s="51"/>
      <c r="C682" s="1125"/>
      <c r="D682" s="1117"/>
      <c r="E682" s="1118"/>
      <c r="F682" s="1111"/>
      <c r="G682" s="1111"/>
      <c r="H682" s="1111"/>
      <c r="I682" s="1111"/>
      <c r="J682" s="1111"/>
      <c r="K682" s="1111"/>
      <c r="L682" s="1111"/>
      <c r="M682" s="1111"/>
      <c r="N682" s="1111"/>
      <c r="O682" s="1111"/>
      <c r="P682" s="1111"/>
      <c r="Q682" s="1111"/>
      <c r="R682" s="1111"/>
      <c r="S682" s="1111"/>
      <c r="T682" s="1111"/>
      <c r="U682" s="1111"/>
      <c r="V682" s="1111"/>
      <c r="W682" s="1111"/>
      <c r="X682" s="1111"/>
      <c r="Y682" s="1111"/>
      <c r="Z682" s="1111"/>
      <c r="AA682" s="1111"/>
      <c r="AB682" s="1111"/>
      <c r="AC682" s="1111"/>
      <c r="AD682" s="1111"/>
      <c r="AE682" s="1111"/>
      <c r="AF682" s="1111"/>
      <c r="AG682" s="1111"/>
      <c r="AH682" s="1111"/>
      <c r="AI682" s="1111"/>
      <c r="AJ682" s="1111"/>
      <c r="AK682" s="1111"/>
      <c r="AL682" s="1127"/>
      <c r="AN682" s="923"/>
    </row>
    <row r="683" spans="1:54" s="866" customFormat="1" ht="12.75" customHeight="1">
      <c r="A683" s="850"/>
      <c r="B683" s="51"/>
      <c r="C683" s="1673"/>
      <c r="D683" s="1179"/>
      <c r="E683" s="949"/>
      <c r="F683" s="1674"/>
      <c r="G683" s="992"/>
      <c r="H683" s="992"/>
      <c r="I683" s="992"/>
      <c r="J683" s="992"/>
      <c r="K683" s="992"/>
      <c r="L683" s="992"/>
      <c r="M683" s="992"/>
      <c r="N683" s="992"/>
      <c r="O683" s="992"/>
      <c r="P683" s="992"/>
      <c r="Q683" s="992"/>
      <c r="R683" s="992"/>
      <c r="S683" s="992"/>
      <c r="T683" s="992"/>
      <c r="U683" s="992"/>
      <c r="V683" s="992"/>
      <c r="W683" s="992"/>
      <c r="X683" s="992"/>
      <c r="Y683" s="992"/>
      <c r="Z683" s="992"/>
      <c r="AA683" s="992"/>
      <c r="AB683" s="992"/>
      <c r="AC683" s="992"/>
      <c r="AD683" s="992"/>
      <c r="AE683" s="949"/>
      <c r="AF683" s="954"/>
      <c r="AG683" s="954"/>
      <c r="AH683" s="954"/>
      <c r="AI683" s="954"/>
      <c r="AJ683" s="954"/>
      <c r="AK683" s="954"/>
      <c r="AL683" s="954"/>
      <c r="AN683" s="923"/>
    </row>
    <row r="684" spans="1:54" s="866" customFormat="1" ht="12.75" customHeight="1">
      <c r="A684" s="931"/>
      <c r="B684" s="1335" t="s">
        <v>1814</v>
      </c>
      <c r="C684" s="925"/>
      <c r="D684" s="1047"/>
      <c r="E684" s="932"/>
      <c r="F684" s="932"/>
      <c r="G684" s="932"/>
      <c r="H684" s="932"/>
      <c r="I684" s="932"/>
      <c r="J684" s="932"/>
      <c r="K684" s="932"/>
      <c r="L684" s="932"/>
      <c r="M684" s="932"/>
      <c r="N684" s="932"/>
      <c r="O684" s="932"/>
      <c r="P684" s="932"/>
      <c r="Q684" s="932"/>
      <c r="R684" s="932"/>
      <c r="S684" s="932"/>
      <c r="T684" s="932"/>
      <c r="U684" s="932"/>
      <c r="V684" s="932"/>
      <c r="W684" s="932"/>
      <c r="X684" s="932"/>
      <c r="Y684" s="932"/>
      <c r="Z684" s="932"/>
      <c r="AA684" s="932"/>
      <c r="AB684" s="932"/>
      <c r="AC684" s="932"/>
      <c r="AD684" s="932"/>
      <c r="AE684" s="941"/>
      <c r="AF684" s="941"/>
      <c r="AG684" s="941"/>
      <c r="AH684" s="941"/>
      <c r="AI684" s="882"/>
      <c r="AJ684" s="882" t="s">
        <v>1815</v>
      </c>
      <c r="AK684" s="2980">
        <f>IF(AS575=0,AS573,AS575)</f>
        <v>12</v>
      </c>
      <c r="AL684" s="2981"/>
      <c r="AM684" s="2982"/>
      <c r="AN684" s="923"/>
    </row>
    <row r="685" spans="1:54" s="866" customFormat="1" ht="12.75" customHeight="1" thickBot="1">
      <c r="A685" s="1167"/>
      <c r="B685" s="1167"/>
      <c r="C685" s="1167"/>
      <c r="D685" s="1167"/>
      <c r="E685" s="1167"/>
      <c r="F685" s="1167"/>
      <c r="G685" s="1167"/>
      <c r="H685" s="1167"/>
      <c r="I685" s="1167"/>
      <c r="J685" s="1167"/>
      <c r="K685" s="1167"/>
      <c r="L685" s="1167"/>
      <c r="M685" s="1167"/>
      <c r="N685" s="1167"/>
      <c r="O685" s="1167"/>
      <c r="P685" s="1167"/>
      <c r="Q685" s="1167"/>
      <c r="R685" s="1167"/>
      <c r="S685" s="1167"/>
      <c r="T685" s="1167"/>
      <c r="U685" s="1167"/>
      <c r="V685" s="1167"/>
      <c r="W685" s="1167"/>
      <c r="X685" s="1167"/>
      <c r="Y685" s="1167"/>
      <c r="Z685" s="1167"/>
      <c r="AA685" s="1167"/>
      <c r="AB685" s="1167"/>
      <c r="AC685" s="1167"/>
      <c r="AD685" s="1167"/>
      <c r="AE685" s="1167"/>
      <c r="AF685" s="1167"/>
      <c r="AG685" s="1167"/>
      <c r="AH685" s="1167"/>
      <c r="AI685" s="1167"/>
      <c r="AJ685" s="1167"/>
      <c r="AK685" s="1167"/>
      <c r="AL685" s="1167"/>
      <c r="AM685" s="1168"/>
      <c r="AN685" s="923"/>
    </row>
    <row r="686" spans="1:54" s="866" customFormat="1" ht="12.75" hidden="1" customHeight="1" thickTop="1">
      <c r="A686" s="124"/>
      <c r="B686" s="888"/>
      <c r="C686" s="889"/>
      <c r="D686" s="889"/>
      <c r="E686" s="889"/>
      <c r="F686" s="889"/>
      <c r="G686" s="889"/>
      <c r="H686" s="889"/>
      <c r="I686" s="1654"/>
      <c r="J686" s="1654"/>
      <c r="K686" s="1654"/>
      <c r="L686" s="1654"/>
      <c r="M686" s="1654"/>
      <c r="N686" s="1654"/>
      <c r="O686" s="1654"/>
      <c r="P686" s="1654"/>
      <c r="Q686" s="1654"/>
      <c r="R686" s="887"/>
      <c r="S686" s="855"/>
      <c r="T686" s="855"/>
      <c r="U686" s="855"/>
      <c r="V686" s="855"/>
      <c r="W686" s="855"/>
      <c r="X686" s="855"/>
      <c r="Y686" s="855"/>
      <c r="Z686" s="855"/>
      <c r="AA686" s="855"/>
      <c r="AB686" s="855"/>
      <c r="AC686" s="855"/>
      <c r="AD686" s="855"/>
      <c r="AE686" s="855"/>
      <c r="AF686" s="887"/>
      <c r="AG686" s="855"/>
      <c r="AH686" s="855"/>
      <c r="AI686" s="855"/>
      <c r="AJ686" s="855"/>
      <c r="AM686" s="51"/>
      <c r="AN686" s="923"/>
      <c r="AO686" s="866" t="s">
        <v>628</v>
      </c>
      <c r="AP686" s="948">
        <v>0</v>
      </c>
    </row>
    <row r="687" spans="1:54" s="866" customFormat="1" ht="12.75" hidden="1" customHeight="1">
      <c r="A687" s="935" t="s">
        <v>1816</v>
      </c>
      <c r="B687" s="949"/>
      <c r="C687" s="935"/>
      <c r="D687" s="949"/>
      <c r="E687" s="922"/>
      <c r="F687" s="949"/>
      <c r="G687" s="949"/>
      <c r="H687" s="949"/>
      <c r="I687" s="949"/>
      <c r="J687" s="949"/>
      <c r="K687" s="949"/>
      <c r="L687" s="949"/>
      <c r="M687" s="949"/>
      <c r="N687" s="949"/>
      <c r="O687" s="949"/>
      <c r="P687" s="949"/>
      <c r="Q687" s="949"/>
      <c r="R687" s="949"/>
      <c r="S687" s="949"/>
      <c r="T687" s="949"/>
      <c r="U687" s="949"/>
      <c r="V687" s="949"/>
      <c r="W687" s="949"/>
      <c r="X687" s="949"/>
      <c r="Y687" s="949"/>
      <c r="Z687" s="949"/>
      <c r="AA687" s="949"/>
      <c r="AB687" s="949"/>
      <c r="AE687" s="3046" t="s">
        <v>1817</v>
      </c>
      <c r="AF687" s="3046"/>
      <c r="AG687" s="3046"/>
      <c r="AH687" s="3046"/>
      <c r="AI687" s="3046"/>
      <c r="AJ687" s="3046"/>
      <c r="AK687" s="3046"/>
      <c r="AL687" s="1650"/>
      <c r="AM687" s="949"/>
      <c r="AN687" s="923"/>
      <c r="AO687" s="866" t="s">
        <v>1795</v>
      </c>
      <c r="AP687" s="866">
        <v>5</v>
      </c>
      <c r="AQ687" s="948"/>
      <c r="AR687" s="948"/>
      <c r="AS687" s="948"/>
      <c r="AT687" s="948"/>
      <c r="AU687" s="948"/>
      <c r="AV687" s="948"/>
      <c r="AW687" s="948"/>
    </row>
    <row r="688" spans="1:54" s="866" customFormat="1" ht="12.75" hidden="1" customHeight="1">
      <c r="A688" s="935"/>
      <c r="B688" s="929" t="s">
        <v>1818</v>
      </c>
      <c r="C688" s="935"/>
      <c r="D688" s="949"/>
      <c r="E688" s="922"/>
      <c r="F688" s="949"/>
      <c r="G688" s="949"/>
      <c r="H688" s="949"/>
      <c r="I688" s="949"/>
      <c r="J688" s="949"/>
      <c r="K688" s="949"/>
      <c r="L688" s="949"/>
      <c r="M688" s="949"/>
      <c r="N688" s="949"/>
      <c r="O688" s="949"/>
      <c r="P688" s="949"/>
      <c r="Q688" s="949"/>
      <c r="R688" s="949"/>
      <c r="S688" s="949"/>
      <c r="T688" s="949"/>
      <c r="U688" s="949"/>
      <c r="V688" s="949"/>
      <c r="W688" s="949"/>
      <c r="X688" s="949"/>
      <c r="Y688" s="949"/>
      <c r="Z688" s="949"/>
      <c r="AA688" s="949"/>
      <c r="AB688" s="949"/>
      <c r="AE688" s="1650"/>
      <c r="AF688" s="1650"/>
      <c r="AG688" s="1650"/>
      <c r="AH688" s="1650"/>
      <c r="AI688" s="1650"/>
      <c r="AJ688" s="1650"/>
      <c r="AK688" s="1650"/>
      <c r="AL688" s="1650"/>
      <c r="AM688" s="949"/>
      <c r="AN688" s="923"/>
      <c r="AO688" s="866" t="s">
        <v>1819</v>
      </c>
      <c r="AP688" s="866">
        <v>5</v>
      </c>
      <c r="AQ688" s="948"/>
      <c r="AR688" s="948"/>
      <c r="AS688" s="948"/>
      <c r="AT688" s="948"/>
      <c r="AU688" s="948"/>
      <c r="AV688" s="948"/>
      <c r="AW688" s="948"/>
    </row>
    <row r="689" spans="1:50" s="866" customFormat="1" ht="12.75" hidden="1" customHeight="1">
      <c r="A689" s="935"/>
      <c r="B689" s="909" t="s">
        <v>1820</v>
      </c>
      <c r="C689" s="935"/>
      <c r="D689" s="949"/>
      <c r="E689" s="922"/>
      <c r="F689" s="949"/>
      <c r="G689" s="949"/>
      <c r="H689" s="949"/>
      <c r="I689" s="949"/>
      <c r="J689" s="949"/>
      <c r="K689" s="949"/>
      <c r="L689" s="949"/>
      <c r="M689" s="949"/>
      <c r="N689" s="949"/>
      <c r="O689" s="949"/>
      <c r="P689" s="949"/>
      <c r="Q689" s="949"/>
      <c r="R689" s="949"/>
      <c r="S689" s="949"/>
      <c r="T689" s="949"/>
      <c r="U689" s="949"/>
      <c r="V689" s="949"/>
      <c r="W689" s="949"/>
      <c r="X689" s="949"/>
      <c r="Y689" s="949"/>
      <c r="Z689" s="949"/>
      <c r="AA689" s="949"/>
      <c r="AB689" s="949"/>
      <c r="AE689" s="1650"/>
      <c r="AF689" s="1650"/>
      <c r="AG689" s="1650"/>
      <c r="AH689" s="1650"/>
      <c r="AI689" s="1650"/>
      <c r="AJ689" s="1650"/>
      <c r="AK689" s="1650"/>
      <c r="AL689" s="1650"/>
      <c r="AM689" s="949"/>
      <c r="AN689" s="923"/>
      <c r="AO689" s="866" t="s">
        <v>1797</v>
      </c>
      <c r="AP689" s="866">
        <v>5</v>
      </c>
      <c r="AQ689" s="1102"/>
      <c r="AR689" s="1102"/>
      <c r="AS689" s="1158"/>
      <c r="AW689" s="1158"/>
    </row>
    <row r="690" spans="1:50" s="866" customFormat="1" ht="12.75" hidden="1" customHeight="1">
      <c r="A690" s="935"/>
      <c r="B690" s="909" t="s">
        <v>1821</v>
      </c>
      <c r="C690" s="935"/>
      <c r="D690" s="949"/>
      <c r="E690" s="922"/>
      <c r="F690" s="949"/>
      <c r="G690" s="949"/>
      <c r="H690" s="949"/>
      <c r="I690" s="949"/>
      <c r="J690" s="949"/>
      <c r="K690" s="949"/>
      <c r="L690" s="949"/>
      <c r="M690" s="949"/>
      <c r="N690" s="949"/>
      <c r="O690" s="949"/>
      <c r="P690" s="949"/>
      <c r="Q690" s="949"/>
      <c r="R690" s="949"/>
      <c r="S690" s="949"/>
      <c r="T690" s="949"/>
      <c r="U690" s="949"/>
      <c r="V690" s="949"/>
      <c r="W690" s="949"/>
      <c r="X690" s="949"/>
      <c r="Y690" s="949"/>
      <c r="Z690" s="949"/>
      <c r="AA690" s="949"/>
      <c r="AB690" s="949"/>
      <c r="AE690" s="1650"/>
      <c r="AF690" s="1650"/>
      <c r="AG690" s="1650"/>
      <c r="AH690" s="1650"/>
      <c r="AI690" s="1650"/>
      <c r="AJ690" s="1650"/>
      <c r="AK690" s="1650"/>
      <c r="AL690" s="1650"/>
      <c r="AM690" s="949"/>
      <c r="AN690" s="923"/>
      <c r="AO690" s="866" t="s">
        <v>1799</v>
      </c>
      <c r="AP690" s="866">
        <v>5</v>
      </c>
      <c r="AQ690" s="1102"/>
      <c r="AR690" s="1102"/>
      <c r="AW690" s="1169"/>
    </row>
    <row r="691" spans="1:50" s="866" customFormat="1" ht="12.75" hidden="1" customHeight="1">
      <c r="A691" s="935"/>
      <c r="B691" s="949"/>
      <c r="C691" s="935"/>
      <c r="D691" s="949"/>
      <c r="E691" s="922"/>
      <c r="F691" s="949"/>
      <c r="G691" s="949"/>
      <c r="H691" s="949"/>
      <c r="I691" s="949"/>
      <c r="J691" s="949"/>
      <c r="K691" s="949"/>
      <c r="L691" s="949"/>
      <c r="M691" s="949"/>
      <c r="N691" s="949"/>
      <c r="O691" s="949"/>
      <c r="P691" s="949"/>
      <c r="Q691" s="949"/>
      <c r="R691" s="949"/>
      <c r="S691" s="949"/>
      <c r="T691" s="949"/>
      <c r="U691" s="949"/>
      <c r="V691" s="949"/>
      <c r="W691" s="949"/>
      <c r="X691" s="949"/>
      <c r="Y691" s="949"/>
      <c r="Z691" s="949"/>
      <c r="AA691" s="949"/>
      <c r="AB691" s="949"/>
      <c r="AE691" s="1650"/>
      <c r="AF691" s="1650"/>
      <c r="AG691" s="1650"/>
      <c r="AH691" s="1650"/>
      <c r="AI691" s="1650"/>
      <c r="AJ691" s="1650"/>
      <c r="AK691" s="1650"/>
      <c r="AL691" s="1650"/>
      <c r="AM691" s="949"/>
      <c r="AN691" s="923"/>
      <c r="AO691" s="866" t="s">
        <v>1800</v>
      </c>
      <c r="AP691" s="866">
        <v>5</v>
      </c>
      <c r="AQ691" s="1102"/>
      <c r="AR691" s="1102"/>
      <c r="AW691" s="1169"/>
    </row>
    <row r="692" spans="1:50" s="866" customFormat="1" ht="12.75" hidden="1" customHeight="1">
      <c r="A692" s="935"/>
      <c r="B692" s="949"/>
      <c r="C692" s="1170" t="s">
        <v>1822</v>
      </c>
      <c r="D692" s="1057"/>
      <c r="F692" s="949"/>
      <c r="G692" s="949"/>
      <c r="H692" s="949"/>
      <c r="I692" s="949"/>
      <c r="J692" s="949"/>
      <c r="K692" s="949"/>
      <c r="L692" s="949"/>
      <c r="M692" s="949"/>
      <c r="N692" s="949"/>
      <c r="O692" s="949"/>
      <c r="P692" s="949"/>
      <c r="Q692" s="949"/>
      <c r="R692" s="949"/>
      <c r="S692" s="949"/>
      <c r="T692" s="949"/>
      <c r="U692" s="949"/>
      <c r="V692" s="949"/>
      <c r="W692" s="949"/>
      <c r="X692" s="949"/>
      <c r="Y692" s="949"/>
      <c r="Z692" s="949"/>
      <c r="AA692" s="949"/>
      <c r="AB692" s="949"/>
      <c r="AE692" s="1650"/>
      <c r="AF692" s="1650"/>
      <c r="AG692" s="922"/>
      <c r="AH692" s="922"/>
      <c r="AI692" s="922"/>
      <c r="AJ692" s="922"/>
      <c r="AK692" s="922"/>
      <c r="AL692" s="922"/>
      <c r="AM692" s="949"/>
      <c r="AN692" s="923"/>
      <c r="AO692" s="866" t="s">
        <v>1801</v>
      </c>
      <c r="AP692" s="866">
        <v>5</v>
      </c>
      <c r="AW692" s="1169"/>
    </row>
    <row r="693" spans="1:50" s="866" customFormat="1" ht="12.75" hidden="1" customHeight="1">
      <c r="A693" s="935"/>
      <c r="C693" s="3047" t="s">
        <v>628</v>
      </c>
      <c r="D693" s="3048"/>
      <c r="E693" s="1171" t="s">
        <v>542</v>
      </c>
      <c r="F693" s="3049" t="s">
        <v>1823</v>
      </c>
      <c r="G693" s="3049"/>
      <c r="H693" s="3049"/>
      <c r="I693" s="3049"/>
      <c r="J693" s="3049"/>
      <c r="K693" s="3049"/>
      <c r="L693" s="3049"/>
      <c r="M693" s="3049"/>
      <c r="N693" s="3049"/>
      <c r="O693" s="3049"/>
      <c r="P693" s="3049"/>
      <c r="Q693" s="3049"/>
      <c r="R693" s="3049"/>
      <c r="S693" s="3049"/>
      <c r="T693" s="3049"/>
      <c r="U693" s="3049"/>
      <c r="V693" s="3049"/>
      <c r="W693" s="3049"/>
      <c r="X693" s="3049"/>
      <c r="Y693" s="3049"/>
      <c r="Z693" s="3049"/>
      <c r="AA693" s="3049"/>
      <c r="AB693" s="3049"/>
      <c r="AC693" s="3049"/>
      <c r="AD693" s="3049"/>
      <c r="AE693" s="3049"/>
      <c r="AF693" s="1096"/>
      <c r="AG693" s="1096"/>
      <c r="AH693" s="1096"/>
      <c r="AI693" s="1096"/>
      <c r="AJ693" s="1096"/>
      <c r="AK693" s="1132"/>
      <c r="AL693" s="948"/>
      <c r="AN693" s="923"/>
      <c r="AO693" s="866" t="s">
        <v>1824</v>
      </c>
      <c r="AP693" s="866">
        <v>5</v>
      </c>
      <c r="AS693" s="1164"/>
      <c r="AT693" s="1162"/>
      <c r="AW693" s="1169"/>
      <c r="AX693" s="991"/>
    </row>
    <row r="694" spans="1:50" s="866" customFormat="1" ht="12.75" hidden="1" customHeight="1">
      <c r="A694" s="983"/>
      <c r="C694" s="1172"/>
      <c r="D694" s="948"/>
      <c r="E694" s="1173"/>
      <c r="F694" s="3050"/>
      <c r="G694" s="3050"/>
      <c r="H694" s="3050"/>
      <c r="I694" s="3050"/>
      <c r="J694" s="3050"/>
      <c r="K694" s="3050"/>
      <c r="L694" s="3050"/>
      <c r="M694" s="3050"/>
      <c r="N694" s="3050"/>
      <c r="O694" s="3050"/>
      <c r="P694" s="3050"/>
      <c r="Q694" s="3050"/>
      <c r="R694" s="3050"/>
      <c r="S694" s="3050"/>
      <c r="T694" s="3050"/>
      <c r="U694" s="3050"/>
      <c r="V694" s="3050"/>
      <c r="W694" s="3050"/>
      <c r="X694" s="3050"/>
      <c r="Y694" s="3050"/>
      <c r="Z694" s="3050"/>
      <c r="AA694" s="3050"/>
      <c r="AB694" s="3050"/>
      <c r="AC694" s="3050"/>
      <c r="AD694" s="3050"/>
      <c r="AE694" s="3050"/>
      <c r="AF694" s="948"/>
      <c r="AG694" s="867"/>
      <c r="AH694" s="867"/>
      <c r="AI694" s="867"/>
      <c r="AJ694" s="867"/>
      <c r="AK694" s="1116"/>
      <c r="AL694" s="948"/>
      <c r="AN694" s="923"/>
      <c r="AO694" s="866" t="s">
        <v>1805</v>
      </c>
      <c r="AP694" s="866">
        <v>1</v>
      </c>
    </row>
    <row r="695" spans="1:50" s="866" customFormat="1" ht="12.75" hidden="1" customHeight="1">
      <c r="A695" s="983"/>
      <c r="C695" s="1174"/>
      <c r="D695" s="1111"/>
      <c r="E695" s="1175"/>
      <c r="F695" s="3051" t="s">
        <v>628</v>
      </c>
      <c r="G695" s="3051"/>
      <c r="H695" s="3051"/>
      <c r="I695" s="3051"/>
      <c r="J695" s="3051"/>
      <c r="K695" s="3051"/>
      <c r="L695" s="3051"/>
      <c r="M695" s="3051"/>
      <c r="N695" s="3051"/>
      <c r="O695" s="3051"/>
      <c r="P695" s="3051"/>
      <c r="Q695" s="3051"/>
      <c r="R695" s="3051"/>
      <c r="S695" s="3051"/>
      <c r="T695" s="3051"/>
      <c r="U695" s="3051"/>
      <c r="V695" s="3051"/>
      <c r="W695" s="3051"/>
      <c r="X695" s="3051"/>
      <c r="Y695" s="3051"/>
      <c r="Z695" s="3051"/>
      <c r="AA695" s="1176"/>
      <c r="AB695" s="1023"/>
      <c r="AC695" s="1023"/>
      <c r="AD695" s="1111"/>
      <c r="AE695" s="1111"/>
      <c r="AF695" s="1111"/>
      <c r="AG695" s="1177">
        <f>IF($C$693="Yes",(VLOOKUP($F$695,$AO$660:$AP$668,2,FALSE)),0)</f>
        <v>0</v>
      </c>
      <c r="AH695" s="1178" t="s">
        <v>1614</v>
      </c>
      <c r="AI695" s="1177"/>
      <c r="AJ695" s="1177"/>
      <c r="AK695" s="1127"/>
      <c r="AL695" s="948"/>
      <c r="AN695" s="923"/>
      <c r="AS695" s="1158"/>
      <c r="AW695" s="1158"/>
    </row>
    <row r="696" spans="1:50" s="866" customFormat="1" ht="12.75" hidden="1" customHeight="1">
      <c r="A696" s="983"/>
      <c r="C696" s="867"/>
      <c r="E696" s="1173"/>
      <c r="F696" s="912"/>
      <c r="G696" s="912"/>
      <c r="H696" s="912"/>
      <c r="I696" s="912"/>
      <c r="J696" s="912"/>
      <c r="K696" s="912"/>
      <c r="L696" s="912"/>
      <c r="M696" s="912"/>
      <c r="N696" s="912"/>
      <c r="O696" s="912"/>
      <c r="P696" s="912"/>
      <c r="Q696" s="912"/>
      <c r="R696" s="912"/>
      <c r="S696" s="912"/>
      <c r="T696" s="912"/>
      <c r="U696" s="912"/>
      <c r="V696" s="912"/>
      <c r="W696" s="912"/>
      <c r="X696" s="912"/>
      <c r="Y696" s="912"/>
      <c r="Z696" s="912"/>
      <c r="AA696" s="1179"/>
      <c r="AB696" s="867"/>
      <c r="AC696" s="867"/>
      <c r="AG696" s="867"/>
      <c r="AH696" s="867"/>
      <c r="AI696" s="867"/>
      <c r="AJ696" s="867"/>
      <c r="AN696" s="923"/>
      <c r="AO696" s="866" t="s">
        <v>628</v>
      </c>
      <c r="AP696" s="991">
        <v>0</v>
      </c>
    </row>
    <row r="697" spans="1:50" s="866" customFormat="1" ht="12.75" hidden="1" customHeight="1">
      <c r="A697" s="983"/>
      <c r="C697" s="3052" t="s">
        <v>580</v>
      </c>
      <c r="D697" s="3053"/>
      <c r="E697" s="1171" t="s">
        <v>802</v>
      </c>
      <c r="F697" s="1180" t="s">
        <v>1825</v>
      </c>
      <c r="G697" s="1010"/>
      <c r="H697" s="1010"/>
      <c r="I697" s="1010"/>
      <c r="J697" s="1010"/>
      <c r="K697" s="1010"/>
      <c r="L697" s="1010"/>
      <c r="M697" s="1010"/>
      <c r="N697" s="1010"/>
      <c r="O697" s="1010"/>
      <c r="P697" s="1010"/>
      <c r="Q697" s="1010"/>
      <c r="R697" s="1010"/>
      <c r="S697" s="1010"/>
      <c r="T697" s="1010"/>
      <c r="U697" s="1010"/>
      <c r="V697" s="1010"/>
      <c r="W697" s="1010"/>
      <c r="X697" s="1010"/>
      <c r="Y697" s="1010"/>
      <c r="Z697" s="1010"/>
      <c r="AA697" s="1010"/>
      <c r="AB697" s="1010"/>
      <c r="AC697" s="1010"/>
      <c r="AD697" s="1096"/>
      <c r="AE697" s="1096"/>
      <c r="AF697" s="1096"/>
      <c r="AG697" s="1010"/>
      <c r="AH697" s="1010"/>
      <c r="AI697" s="1010"/>
      <c r="AJ697" s="1010"/>
      <c r="AK697" s="1132"/>
      <c r="AL697" s="948"/>
      <c r="AN697" s="923"/>
      <c r="AO697" s="1164">
        <v>0.15</v>
      </c>
      <c r="AP697" s="991">
        <v>3</v>
      </c>
    </row>
    <row r="698" spans="1:50" s="866" customFormat="1" ht="12.75" hidden="1" customHeight="1">
      <c r="A698" s="983"/>
      <c r="C698" s="1181" t="s">
        <v>1826</v>
      </c>
      <c r="D698" s="948"/>
      <c r="E698" s="948"/>
      <c r="F698" s="1182" t="s">
        <v>1827</v>
      </c>
      <c r="G698" s="867"/>
      <c r="H698" s="867"/>
      <c r="I698" s="867"/>
      <c r="J698" s="867"/>
      <c r="K698" s="867"/>
      <c r="L698" s="867"/>
      <c r="M698" s="867"/>
      <c r="N698" s="867"/>
      <c r="O698" s="867"/>
      <c r="P698" s="867"/>
      <c r="Q698" s="867"/>
      <c r="R698" s="867"/>
      <c r="S698" s="867"/>
      <c r="T698" s="867"/>
      <c r="U698" s="867"/>
      <c r="V698" s="867"/>
      <c r="W698" s="867"/>
      <c r="X698" s="867"/>
      <c r="Y698" s="867"/>
      <c r="Z698" s="867"/>
      <c r="AA698" s="867"/>
      <c r="AB698" s="867"/>
      <c r="AC698" s="1650"/>
      <c r="AD698" s="948"/>
      <c r="AE698" s="948"/>
      <c r="AF698" s="948"/>
      <c r="AG698" s="954"/>
      <c r="AH698" s="954"/>
      <c r="AI698" s="954"/>
      <c r="AJ698" s="954"/>
      <c r="AK698" s="1116"/>
      <c r="AL698" s="948"/>
      <c r="AN698" s="923"/>
      <c r="AO698" s="1164">
        <v>0.2</v>
      </c>
      <c r="AP698" s="991">
        <v>5</v>
      </c>
    </row>
    <row r="699" spans="1:50" s="866" customFormat="1" ht="12.75" hidden="1" customHeight="1">
      <c r="A699" s="983"/>
      <c r="C699" s="1652"/>
      <c r="D699" s="1653"/>
      <c r="E699" s="1183"/>
      <c r="F699" s="1182" t="s">
        <v>1828</v>
      </c>
      <c r="G699" s="1182"/>
      <c r="H699" s="1182"/>
      <c r="I699" s="1182"/>
      <c r="J699" s="1182"/>
      <c r="K699" s="1182"/>
      <c r="L699" s="1182"/>
      <c r="M699" s="1182"/>
      <c r="N699" s="1182"/>
      <c r="O699" s="1182"/>
      <c r="P699" s="1182"/>
      <c r="Q699" s="1182"/>
      <c r="R699" s="1182"/>
      <c r="S699" s="1182"/>
      <c r="T699" s="1182"/>
      <c r="U699" s="1182"/>
      <c r="V699" s="1182"/>
      <c r="W699" s="1182"/>
      <c r="X699" s="1182"/>
      <c r="Y699" s="1182"/>
      <c r="Z699" s="1182"/>
      <c r="AA699" s="1182"/>
      <c r="AB699" s="1182"/>
      <c r="AC699" s="1184"/>
      <c r="AD699" s="1185"/>
      <c r="AE699" s="1185"/>
      <c r="AF699" s="1185"/>
      <c r="AG699" s="1186"/>
      <c r="AH699" s="954"/>
      <c r="AI699" s="954"/>
      <c r="AJ699" s="954"/>
      <c r="AK699" s="1116"/>
      <c r="AL699" s="948"/>
      <c r="AN699" s="1048"/>
      <c r="AO699" s="1164"/>
      <c r="AP699" s="1162"/>
    </row>
    <row r="700" spans="1:50" s="916" customFormat="1" ht="12.75" hidden="1" customHeight="1">
      <c r="A700" s="1042"/>
      <c r="B700" s="866"/>
      <c r="C700" s="1172"/>
      <c r="D700" s="948"/>
      <c r="E700" s="1173"/>
      <c r="F700" s="1187" t="s">
        <v>1829</v>
      </c>
      <c r="G700" s="948"/>
      <c r="H700" s="948"/>
      <c r="I700" s="1182"/>
      <c r="J700" s="1182"/>
      <c r="K700" s="1182"/>
      <c r="L700" s="1182"/>
      <c r="M700" s="1182"/>
      <c r="N700" s="1182"/>
      <c r="O700" s="1182"/>
      <c r="P700" s="1182"/>
      <c r="Q700" s="1182"/>
      <c r="R700" s="1182"/>
      <c r="S700" s="1182"/>
      <c r="T700" s="1182"/>
      <c r="U700" s="1182"/>
      <c r="V700" s="3045" t="s">
        <v>628</v>
      </c>
      <c r="W700" s="3045"/>
      <c r="X700" s="3045"/>
      <c r="Y700" s="1182"/>
      <c r="Z700" s="1182"/>
      <c r="AA700" s="1182"/>
      <c r="AB700" s="1182"/>
      <c r="AC700" s="1182"/>
      <c r="AD700" s="1185"/>
      <c r="AE700" s="1185"/>
      <c r="AF700" s="1185"/>
      <c r="AG700" s="954">
        <f>IF(AND($C$697="Yes",$V$702="N/A",$V$707="N/A",$V$711="N/A",$V$713="N/A"),(VLOOKUP(V700,$AR$670:$AS$672,2,FALSE)),0)</f>
        <v>0</v>
      </c>
      <c r="AH700" s="1658" t="s">
        <v>1614</v>
      </c>
      <c r="AI700" s="867"/>
      <c r="AJ700" s="867"/>
      <c r="AK700" s="1116"/>
      <c r="AL700" s="948"/>
      <c r="AM700" s="866"/>
      <c r="AN700" s="923"/>
    </row>
    <row r="701" spans="1:50" s="916" customFormat="1" ht="12.75" hidden="1" customHeight="1">
      <c r="A701" s="1042"/>
      <c r="B701" s="866"/>
      <c r="C701" s="1172"/>
      <c r="D701" s="948"/>
      <c r="E701" s="1173"/>
      <c r="F701" s="1187"/>
      <c r="G701" s="948"/>
      <c r="H701" s="948"/>
      <c r="I701" s="1182"/>
      <c r="J701" s="1182"/>
      <c r="K701" s="1182"/>
      <c r="L701" s="1182"/>
      <c r="M701" s="1182"/>
      <c r="N701" s="1182"/>
      <c r="O701" s="1182"/>
      <c r="P701" s="1182"/>
      <c r="Q701" s="1182"/>
      <c r="R701" s="1182"/>
      <c r="S701" s="1182"/>
      <c r="T701" s="1182"/>
      <c r="U701" s="1182"/>
      <c r="V701" s="1182"/>
      <c r="W701" s="1182"/>
      <c r="X701" s="1182"/>
      <c r="Y701" s="1182"/>
      <c r="Z701" s="1182"/>
      <c r="AA701" s="1182"/>
      <c r="AB701" s="1182"/>
      <c r="AC701" s="1182"/>
      <c r="AD701" s="1185"/>
      <c r="AE701" s="1185"/>
      <c r="AF701" s="1185"/>
      <c r="AG701" s="954"/>
      <c r="AH701" s="1658"/>
      <c r="AI701" s="867"/>
      <c r="AJ701" s="867"/>
      <c r="AK701" s="1116"/>
      <c r="AL701" s="948"/>
      <c r="AM701" s="866"/>
      <c r="AN701" s="923"/>
    </row>
    <row r="702" spans="1:50" s="916" customFormat="1" ht="12.75" hidden="1" customHeight="1">
      <c r="A702" s="1042"/>
      <c r="B702" s="866"/>
      <c r="C702" s="1172"/>
      <c r="D702" s="948"/>
      <c r="E702" s="1173"/>
      <c r="F702" s="1187" t="s">
        <v>1830</v>
      </c>
      <c r="G702" s="948"/>
      <c r="H702" s="948"/>
      <c r="I702" s="1182"/>
      <c r="J702" s="1182"/>
      <c r="K702" s="1182"/>
      <c r="L702" s="1182"/>
      <c r="M702" s="1182"/>
      <c r="N702" s="1182"/>
      <c r="O702" s="1182"/>
      <c r="P702" s="1182"/>
      <c r="Q702" s="1182"/>
      <c r="R702" s="1182"/>
      <c r="S702" s="1182"/>
      <c r="T702" s="1182"/>
      <c r="U702" s="1182"/>
      <c r="V702" s="3045" t="s">
        <v>628</v>
      </c>
      <c r="W702" s="3045"/>
      <c r="X702" s="3045"/>
      <c r="Y702" s="1182"/>
      <c r="Z702" s="1182"/>
      <c r="AA702" s="1182"/>
      <c r="AB702" s="1182"/>
      <c r="AC702" s="1182"/>
      <c r="AD702" s="1185"/>
      <c r="AE702" s="1185"/>
      <c r="AF702" s="1185"/>
      <c r="AG702" s="954">
        <f>IF(AND($C$697="Yes",$V$700="N/A", $V$707="N/A",$V$711="N/A",$V$713="N/A"),(VLOOKUP(V702,$AO$670:$AP$672,2,FALSE)),0)</f>
        <v>0</v>
      </c>
      <c r="AH702" s="1658" t="s">
        <v>1614</v>
      </c>
      <c r="AI702" s="867"/>
      <c r="AJ702" s="867"/>
      <c r="AK702" s="1116"/>
      <c r="AL702" s="948"/>
      <c r="AM702" s="866"/>
      <c r="AN702" s="923"/>
    </row>
    <row r="703" spans="1:50" s="866" customFormat="1" ht="12.75" hidden="1" customHeight="1">
      <c r="A703" s="983"/>
      <c r="C703" s="1172"/>
      <c r="D703" s="948"/>
      <c r="E703" s="1173"/>
      <c r="F703" s="1139"/>
      <c r="G703" s="1188"/>
      <c r="H703" s="1188"/>
      <c r="I703" s="1188"/>
      <c r="J703" s="1188"/>
      <c r="K703" s="1188"/>
      <c r="L703" s="1188"/>
      <c r="M703" s="1188"/>
      <c r="N703" s="1188"/>
      <c r="O703" s="1188"/>
      <c r="P703" s="1188"/>
      <c r="Q703" s="867"/>
      <c r="R703" s="867"/>
      <c r="S703" s="867"/>
      <c r="T703" s="867"/>
      <c r="U703" s="867"/>
      <c r="V703" s="867"/>
      <c r="W703" s="867"/>
      <c r="X703" s="867"/>
      <c r="Y703" s="867"/>
      <c r="Z703" s="867"/>
      <c r="AA703" s="867"/>
      <c r="AB703" s="867"/>
      <c r="AC703" s="867"/>
      <c r="AD703" s="948"/>
      <c r="AE703" s="948"/>
      <c r="AF703" s="948"/>
      <c r="AG703" s="1139"/>
      <c r="AH703" s="1139"/>
      <c r="AI703" s="1139"/>
      <c r="AJ703" s="1139"/>
      <c r="AK703" s="1116"/>
      <c r="AL703" s="948"/>
      <c r="AN703" s="923"/>
      <c r="AO703" s="866" t="s">
        <v>628</v>
      </c>
      <c r="AP703" s="866">
        <v>0</v>
      </c>
    </row>
    <row r="704" spans="1:50" s="866" customFormat="1" ht="12.75" hidden="1" customHeight="1">
      <c r="A704" s="983"/>
      <c r="C704" s="1172"/>
      <c r="D704" s="948"/>
      <c r="E704" s="1173"/>
      <c r="F704" s="1188" t="s">
        <v>1831</v>
      </c>
      <c r="G704" s="948"/>
      <c r="H704" s="948"/>
      <c r="I704" s="1173"/>
      <c r="J704" s="1173"/>
      <c r="K704" s="1173"/>
      <c r="L704" s="1173"/>
      <c r="M704" s="1173"/>
      <c r="N704" s="1173"/>
      <c r="O704" s="1173"/>
      <c r="P704" s="1173"/>
      <c r="Q704" s="867"/>
      <c r="R704" s="867"/>
      <c r="S704" s="867"/>
      <c r="T704" s="867"/>
      <c r="U704" s="867"/>
      <c r="V704" s="867"/>
      <c r="W704" s="867"/>
      <c r="X704" s="867"/>
      <c r="Y704" s="867"/>
      <c r="Z704" s="867"/>
      <c r="AA704" s="867"/>
      <c r="AB704" s="867"/>
      <c r="AC704" s="867"/>
      <c r="AD704" s="948"/>
      <c r="AE704" s="948"/>
      <c r="AF704" s="948"/>
      <c r="AG704" s="948"/>
      <c r="AH704" s="948"/>
      <c r="AI704" s="948"/>
      <c r="AJ704" s="867"/>
      <c r="AK704" s="1116"/>
      <c r="AL704" s="948"/>
      <c r="AN704" s="923"/>
      <c r="AO704" s="866" t="s">
        <v>1832</v>
      </c>
      <c r="AP704" s="991">
        <v>2</v>
      </c>
    </row>
    <row r="705" spans="1:81" s="866" customFormat="1" ht="12.75" hidden="1" customHeight="1">
      <c r="A705" s="983"/>
      <c r="C705" s="1172"/>
      <c r="D705" s="983"/>
      <c r="E705" s="983"/>
      <c r="F705" s="1185" t="s">
        <v>1833</v>
      </c>
      <c r="G705" s="983"/>
      <c r="H705" s="983"/>
      <c r="I705" s="983"/>
      <c r="J705" s="983"/>
      <c r="K705" s="983"/>
      <c r="L705" s="983"/>
      <c r="M705" s="1173"/>
      <c r="N705" s="1173"/>
      <c r="O705" s="1173"/>
      <c r="P705" s="1173"/>
      <c r="Q705" s="867"/>
      <c r="R705" s="867"/>
      <c r="S705" s="867"/>
      <c r="T705" s="867"/>
      <c r="U705" s="867"/>
      <c r="V705" s="867"/>
      <c r="W705" s="867"/>
      <c r="X705" s="867"/>
      <c r="Y705" s="867"/>
      <c r="Z705" s="867"/>
      <c r="AA705" s="867"/>
      <c r="AB705" s="867"/>
      <c r="AC705" s="867"/>
      <c r="AD705" s="948"/>
      <c r="AE705" s="948"/>
      <c r="AF705" s="948"/>
      <c r="AG705" s="954"/>
      <c r="AH705" s="1658"/>
      <c r="AI705" s="867"/>
      <c r="AJ705" s="867"/>
      <c r="AK705" s="1116"/>
      <c r="AL705" s="948"/>
      <c r="AN705" s="923"/>
      <c r="AO705" s="866" t="s">
        <v>1834</v>
      </c>
      <c r="AP705" s="866">
        <v>2</v>
      </c>
    </row>
    <row r="706" spans="1:81" s="916" customFormat="1" ht="12.75" hidden="1" customHeight="1">
      <c r="A706" s="983"/>
      <c r="B706" s="866"/>
      <c r="C706" s="1124"/>
      <c r="D706" s="1179"/>
      <c r="E706" s="1179"/>
      <c r="F706" s="1185" t="s">
        <v>1835</v>
      </c>
      <c r="G706" s="983"/>
      <c r="H706" s="983"/>
      <c r="I706" s="983"/>
      <c r="J706" s="983"/>
      <c r="K706" s="983"/>
      <c r="L706" s="983"/>
      <c r="M706" s="1173"/>
      <c r="N706" s="1173"/>
      <c r="O706" s="1173"/>
      <c r="P706" s="1173"/>
      <c r="Q706" s="867"/>
      <c r="R706" s="867"/>
      <c r="S706" s="867"/>
      <c r="T706" s="867"/>
      <c r="U706" s="867"/>
      <c r="V706" s="867"/>
      <c r="W706" s="867"/>
      <c r="X706" s="867"/>
      <c r="Y706" s="867"/>
      <c r="Z706" s="867"/>
      <c r="AA706" s="867"/>
      <c r="AB706" s="867"/>
      <c r="AC706" s="867"/>
      <c r="AD706" s="948"/>
      <c r="AE706" s="948"/>
      <c r="AF706" s="948"/>
      <c r="AG706" s="954"/>
      <c r="AH706" s="1658"/>
      <c r="AI706" s="867"/>
      <c r="AJ706" s="867"/>
      <c r="AK706" s="1116"/>
      <c r="AL706" s="948"/>
      <c r="AM706" s="866"/>
      <c r="AN706" s="1048"/>
      <c r="AO706" s="866" t="s">
        <v>1836</v>
      </c>
      <c r="AP706" s="866">
        <v>2</v>
      </c>
    </row>
    <row r="707" spans="1:81" s="866" customFormat="1" ht="12.75" hidden="1" customHeight="1">
      <c r="A707" s="983"/>
      <c r="C707" s="1189"/>
      <c r="D707" s="983"/>
      <c r="E707" s="983"/>
      <c r="F707" s="1187" t="s">
        <v>1837</v>
      </c>
      <c r="G707" s="983"/>
      <c r="H707" s="983"/>
      <c r="I707" s="983"/>
      <c r="J707" s="983"/>
      <c r="K707" s="983"/>
      <c r="L707" s="983"/>
      <c r="M707" s="1173"/>
      <c r="N707" s="1173"/>
      <c r="O707" s="1173"/>
      <c r="P707" s="1173"/>
      <c r="Q707" s="867"/>
      <c r="R707" s="867"/>
      <c r="S707" s="867"/>
      <c r="T707" s="867"/>
      <c r="U707" s="867"/>
      <c r="V707" s="3045" t="s">
        <v>628</v>
      </c>
      <c r="W707" s="3045"/>
      <c r="X707" s="3045"/>
      <c r="Y707" s="867"/>
      <c r="Z707" s="867"/>
      <c r="AA707" s="867"/>
      <c r="AB707" s="867"/>
      <c r="AC707" s="867"/>
      <c r="AD707" s="948"/>
      <c r="AE707" s="948"/>
      <c r="AF707" s="948"/>
      <c r="AG707" s="954">
        <f>IF(AND($C$697="Yes",$V$700="N/A",$V$702="N/A", $V$711="N/A",$V$713="N/A"),(VLOOKUP($V$707,$AO$674:$AP$676,2,FALSE)),0)</f>
        <v>0</v>
      </c>
      <c r="AH707" s="1658" t="s">
        <v>1614</v>
      </c>
      <c r="AI707" s="867"/>
      <c r="AJ707" s="867"/>
      <c r="AK707" s="1116"/>
      <c r="AL707" s="948"/>
      <c r="AN707" s="849"/>
    </row>
    <row r="708" spans="1:81" s="866" customFormat="1" ht="12.75" hidden="1" customHeight="1">
      <c r="A708" s="983"/>
      <c r="C708" s="1172"/>
      <c r="D708" s="983"/>
      <c r="E708" s="983"/>
      <c r="F708" s="948"/>
      <c r="G708" s="948"/>
      <c r="H708" s="948"/>
      <c r="I708" s="983"/>
      <c r="J708" s="983"/>
      <c r="K708" s="983"/>
      <c r="L708" s="983"/>
      <c r="M708" s="1173"/>
      <c r="N708" s="1173"/>
      <c r="O708" s="1173"/>
      <c r="P708" s="1173"/>
      <c r="Q708" s="867"/>
      <c r="R708" s="867"/>
      <c r="S708" s="867"/>
      <c r="T708" s="867"/>
      <c r="U708" s="867"/>
      <c r="V708" s="867"/>
      <c r="W708" s="867"/>
      <c r="X708" s="867"/>
      <c r="Y708" s="867"/>
      <c r="Z708" s="867"/>
      <c r="AA708" s="867"/>
      <c r="AB708" s="867"/>
      <c r="AC708" s="867"/>
      <c r="AD708" s="948"/>
      <c r="AE708" s="948"/>
      <c r="AF708" s="948"/>
      <c r="AG708" s="948"/>
      <c r="AH708" s="948"/>
      <c r="AI708" s="948"/>
      <c r="AJ708" s="867"/>
      <c r="AK708" s="1116"/>
      <c r="AL708" s="948"/>
      <c r="AN708" s="1190"/>
    </row>
    <row r="709" spans="1:81" s="916" customFormat="1" ht="12.75" hidden="1" customHeight="1">
      <c r="A709" s="983"/>
      <c r="B709" s="949"/>
      <c r="C709" s="1191" t="s">
        <v>1838</v>
      </c>
      <c r="D709" s="1192"/>
      <c r="E709" s="1192"/>
      <c r="F709" s="1193" t="s">
        <v>1839</v>
      </c>
      <c r="G709" s="1096"/>
      <c r="H709" s="1096"/>
      <c r="I709" s="1192"/>
      <c r="J709" s="1192"/>
      <c r="K709" s="1192"/>
      <c r="L709" s="1192"/>
      <c r="M709" s="1192"/>
      <c r="N709" s="1192"/>
      <c r="O709" s="1192"/>
      <c r="P709" s="1192"/>
      <c r="Q709" s="1192"/>
      <c r="R709" s="1192"/>
      <c r="S709" s="1192"/>
      <c r="T709" s="1192"/>
      <c r="U709" s="1192"/>
      <c r="V709" s="1192"/>
      <c r="W709" s="1192"/>
      <c r="X709" s="1192"/>
      <c r="Y709" s="1192"/>
      <c r="Z709" s="1192"/>
      <c r="AA709" s="1192"/>
      <c r="AB709" s="1192"/>
      <c r="AC709" s="1192"/>
      <c r="AD709" s="1096"/>
      <c r="AE709" s="1096"/>
      <c r="AF709" s="1096"/>
      <c r="AG709" s="1096"/>
      <c r="AH709" s="1096"/>
      <c r="AI709" s="1096"/>
      <c r="AJ709" s="1192"/>
      <c r="AK709" s="1132"/>
      <c r="AL709" s="948"/>
      <c r="AM709" s="866"/>
      <c r="AN709" s="910"/>
      <c r="AO709" s="866" t="s">
        <v>628</v>
      </c>
      <c r="AP709" s="866">
        <v>0</v>
      </c>
      <c r="AQ709" s="1136"/>
    </row>
    <row r="710" spans="1:81" s="916" customFormat="1" ht="12.75" hidden="1" customHeight="1">
      <c r="A710" s="983"/>
      <c r="B710" s="949"/>
      <c r="C710" s="1194"/>
      <c r="D710" s="3044"/>
      <c r="E710" s="3044"/>
      <c r="F710" s="1182" t="s">
        <v>1840</v>
      </c>
      <c r="G710" s="1139"/>
      <c r="H710" s="1139"/>
      <c r="I710" s="948"/>
      <c r="J710" s="948"/>
      <c r="K710" s="948"/>
      <c r="L710" s="948"/>
      <c r="M710" s="948"/>
      <c r="N710" s="948"/>
      <c r="O710" s="948"/>
      <c r="P710" s="948"/>
      <c r="Q710" s="948"/>
      <c r="R710" s="948"/>
      <c r="S710" s="948"/>
      <c r="T710" s="948"/>
      <c r="U710" s="948"/>
      <c r="V710" s="1139"/>
      <c r="W710" s="1139"/>
      <c r="X710" s="1139"/>
      <c r="Y710" s="948"/>
      <c r="Z710" s="948"/>
      <c r="AA710" s="948"/>
      <c r="AB710" s="948"/>
      <c r="AC710" s="948"/>
      <c r="AD710" s="948"/>
      <c r="AE710" s="948"/>
      <c r="AF710" s="948"/>
      <c r="AG710" s="1139"/>
      <c r="AH710" s="1139"/>
      <c r="AI710" s="1139"/>
      <c r="AJ710" s="1139"/>
      <c r="AK710" s="1116"/>
      <c r="AL710" s="948"/>
      <c r="AM710" s="866"/>
      <c r="AN710" s="910"/>
      <c r="AO710" s="866" t="s">
        <v>1841</v>
      </c>
      <c r="AP710" s="991">
        <v>5</v>
      </c>
      <c r="AQ710" s="855"/>
    </row>
    <row r="711" spans="1:81" s="1057" customFormat="1" ht="12.75" hidden="1" customHeight="1">
      <c r="A711" s="1656"/>
      <c r="B711" s="949"/>
      <c r="C711" s="1172"/>
      <c r="D711" s="948"/>
      <c r="E711" s="948"/>
      <c r="F711" s="1195" t="s">
        <v>1829</v>
      </c>
      <c r="G711" s="948"/>
      <c r="H711" s="948"/>
      <c r="I711" s="948"/>
      <c r="J711" s="948"/>
      <c r="K711" s="948"/>
      <c r="L711" s="948"/>
      <c r="M711" s="948"/>
      <c r="N711" s="948"/>
      <c r="O711" s="948"/>
      <c r="P711" s="948"/>
      <c r="Q711" s="948"/>
      <c r="R711" s="948"/>
      <c r="S711" s="948"/>
      <c r="T711" s="948"/>
      <c r="U711" s="948"/>
      <c r="V711" s="3045" t="s">
        <v>628</v>
      </c>
      <c r="W711" s="3045"/>
      <c r="X711" s="3045"/>
      <c r="Y711" s="948"/>
      <c r="Z711" s="948"/>
      <c r="AA711" s="948"/>
      <c r="AB711" s="948"/>
      <c r="AC711" s="948"/>
      <c r="AD711" s="948"/>
      <c r="AE711" s="948"/>
      <c r="AF711" s="948"/>
      <c r="AG711" s="954">
        <f>IF(AND($C$697="Yes",$V$700="N/A",V702="N/A",$V$707="N/A",$V$713="N/A"),(VLOOKUP($V$711,$AW$670:$AX$673,2,FALSE)),0)</f>
        <v>0</v>
      </c>
      <c r="AH711" s="1658" t="s">
        <v>1614</v>
      </c>
      <c r="AI711" s="867"/>
      <c r="AJ711" s="948"/>
      <c r="AK711" s="1116"/>
      <c r="AL711" s="948"/>
      <c r="AM711" s="866"/>
      <c r="AN711" s="1056"/>
      <c r="AO711" s="866" t="s">
        <v>1842</v>
      </c>
      <c r="AP711" s="866">
        <v>5</v>
      </c>
      <c r="AS711" s="866"/>
      <c r="AT711" s="866"/>
      <c r="AU711" s="866"/>
      <c r="AV711" s="866"/>
      <c r="AW711" s="866"/>
      <c r="AX711" s="866"/>
      <c r="AY711" s="866"/>
      <c r="AZ711" s="866"/>
      <c r="BA711" s="866"/>
      <c r="BB711" s="866"/>
      <c r="BO711" s="866"/>
      <c r="BP711" s="866"/>
      <c r="BQ711" s="866"/>
      <c r="BR711" s="866"/>
      <c r="BS711" s="866"/>
      <c r="BT711" s="866"/>
      <c r="BU711" s="866"/>
      <c r="BV711" s="866"/>
      <c r="BW711" s="866"/>
      <c r="BX711" s="866"/>
      <c r="BY711" s="866"/>
      <c r="BZ711" s="866"/>
      <c r="CA711" s="866"/>
      <c r="CB711" s="866"/>
      <c r="CC711" s="866"/>
    </row>
    <row r="712" spans="1:81" s="1057" customFormat="1" ht="12.75" hidden="1" customHeight="1">
      <c r="A712" s="1656"/>
      <c r="B712" s="949"/>
      <c r="C712" s="1172"/>
      <c r="D712" s="948"/>
      <c r="E712" s="948"/>
      <c r="F712" s="887"/>
      <c r="G712" s="887"/>
      <c r="H712" s="887"/>
      <c r="I712" s="948"/>
      <c r="J712" s="948"/>
      <c r="K712" s="948"/>
      <c r="L712" s="948"/>
      <c r="M712" s="948"/>
      <c r="N712" s="948"/>
      <c r="O712" s="948"/>
      <c r="P712" s="948"/>
      <c r="Q712" s="948"/>
      <c r="R712" s="948"/>
      <c r="S712" s="948"/>
      <c r="T712" s="948"/>
      <c r="U712" s="948"/>
      <c r="V712" s="948"/>
      <c r="W712" s="948"/>
      <c r="X712" s="948"/>
      <c r="Y712" s="948"/>
      <c r="Z712" s="948"/>
      <c r="AA712" s="948"/>
      <c r="AB712" s="948"/>
      <c r="AC712" s="948"/>
      <c r="AD712" s="948"/>
      <c r="AE712" s="948"/>
      <c r="AF712" s="948"/>
      <c r="AG712" s="887"/>
      <c r="AH712" s="887"/>
      <c r="AI712" s="887"/>
      <c r="AJ712" s="887"/>
      <c r="AK712" s="1116"/>
      <c r="AL712" s="948"/>
      <c r="AM712" s="866"/>
      <c r="AN712" s="1056"/>
      <c r="AO712" s="866" t="s">
        <v>1843</v>
      </c>
      <c r="AP712" s="866">
        <v>5</v>
      </c>
      <c r="AS712" s="866"/>
      <c r="AT712" s="866"/>
      <c r="AU712" s="866"/>
      <c r="AV712" s="866"/>
      <c r="AW712" s="866"/>
      <c r="AX712" s="866"/>
      <c r="AY712" s="866"/>
      <c r="AZ712" s="866"/>
      <c r="BA712" s="866"/>
      <c r="BB712" s="866"/>
      <c r="BC712" s="866"/>
      <c r="BD712" s="866"/>
      <c r="BE712" s="866"/>
      <c r="BF712" s="866"/>
      <c r="BG712" s="866"/>
      <c r="BH712" s="866"/>
      <c r="BI712" s="866"/>
      <c r="BJ712" s="866"/>
      <c r="BK712" s="866"/>
      <c r="BL712" s="866"/>
      <c r="BM712" s="866"/>
      <c r="BN712" s="866"/>
      <c r="BO712" s="866"/>
      <c r="BP712" s="866"/>
      <c r="BQ712" s="866"/>
      <c r="BR712" s="866"/>
      <c r="BS712" s="866"/>
      <c r="BT712" s="866"/>
      <c r="BU712" s="866"/>
      <c r="BV712" s="866"/>
      <c r="BW712" s="866"/>
      <c r="BX712" s="866"/>
      <c r="BY712" s="866"/>
      <c r="BZ712" s="866"/>
      <c r="CA712" s="866"/>
      <c r="CB712" s="866"/>
      <c r="CC712" s="866"/>
    </row>
    <row r="713" spans="1:81" s="855" customFormat="1" ht="12.75" hidden="1" customHeight="1">
      <c r="A713" s="1656"/>
      <c r="B713" s="949"/>
      <c r="C713" s="1174"/>
      <c r="D713" s="1111"/>
      <c r="E713" s="1111"/>
      <c r="F713" s="1187" t="s">
        <v>1830</v>
      </c>
      <c r="G713" s="1196"/>
      <c r="H713" s="1196"/>
      <c r="I713" s="1111"/>
      <c r="J713" s="1111"/>
      <c r="K713" s="1111"/>
      <c r="L713" s="1111"/>
      <c r="M713" s="1111"/>
      <c r="N713" s="1111"/>
      <c r="O713" s="1111"/>
      <c r="P713" s="1111"/>
      <c r="Q713" s="1111"/>
      <c r="R713" s="1111"/>
      <c r="S713" s="1111"/>
      <c r="T713" s="1111"/>
      <c r="U713" s="1111"/>
      <c r="V713" s="3045" t="s">
        <v>628</v>
      </c>
      <c r="W713" s="3045"/>
      <c r="X713" s="3045"/>
      <c r="Y713" s="1111"/>
      <c r="Z713" s="1111"/>
      <c r="AA713" s="1111"/>
      <c r="AB713" s="1111"/>
      <c r="AC713" s="1111"/>
      <c r="AD713" s="1111"/>
      <c r="AE713" s="1111"/>
      <c r="AF713" s="1111"/>
      <c r="AG713" s="1197">
        <f>IF(AND($C$697="Yes",$V$700="N/A",$V$702="N/A",$V$707="N/A",$V$711="N/A"),(VLOOKUP($V$713,$BA$670:$BB$672,2,FALSE)),0)</f>
        <v>0</v>
      </c>
      <c r="AH713" s="1178" t="s">
        <v>1614</v>
      </c>
      <c r="AI713" s="1111"/>
      <c r="AJ713" s="1111"/>
      <c r="AK713" s="1127"/>
      <c r="AL713" s="948"/>
      <c r="AM713" s="866"/>
      <c r="AN713" s="1198"/>
      <c r="AP713" s="916"/>
      <c r="AQ713" s="916"/>
      <c r="AR713" s="916"/>
      <c r="AS713" s="916"/>
      <c r="AT713" s="916"/>
      <c r="AU713" s="916"/>
      <c r="AV713" s="916"/>
      <c r="AW713" s="916"/>
      <c r="AX713" s="916"/>
      <c r="AY713" s="916"/>
      <c r="AZ713" s="916"/>
      <c r="BA713" s="916"/>
      <c r="BB713" s="916"/>
      <c r="BC713" s="916"/>
      <c r="BE713" s="916"/>
      <c r="BF713" s="916"/>
      <c r="BG713" s="916"/>
      <c r="BH713" s="916"/>
      <c r="BI713" s="916"/>
      <c r="BJ713" s="916"/>
      <c r="BK713" s="916"/>
      <c r="BL713" s="916"/>
      <c r="BM713" s="916"/>
      <c r="BN713" s="916"/>
      <c r="BO713" s="916"/>
      <c r="BP713" s="916"/>
      <c r="BQ713" s="916"/>
      <c r="BR713" s="916"/>
    </row>
    <row r="714" spans="1:81" s="855" customFormat="1" ht="12.75" hidden="1" customHeight="1">
      <c r="A714" s="1656"/>
      <c r="B714" s="949"/>
      <c r="C714" s="867"/>
      <c r="D714" s="866"/>
      <c r="E714" s="1173"/>
      <c r="F714" s="866"/>
      <c r="G714" s="866"/>
      <c r="H714" s="866"/>
      <c r="I714" s="866"/>
      <c r="J714" s="866"/>
      <c r="K714" s="866"/>
      <c r="L714" s="866"/>
      <c r="M714" s="866"/>
      <c r="N714" s="866"/>
      <c r="O714" s="866"/>
      <c r="P714" s="866"/>
      <c r="Q714" s="866"/>
      <c r="R714" s="866"/>
      <c r="S714" s="866"/>
      <c r="T714" s="866"/>
      <c r="U714" s="866"/>
      <c r="V714" s="866"/>
      <c r="W714" s="866"/>
      <c r="X714" s="866"/>
      <c r="Y714" s="866"/>
      <c r="Z714" s="866"/>
      <c r="AA714" s="866"/>
      <c r="AB714" s="866"/>
      <c r="AC714" s="866"/>
      <c r="AD714" s="866"/>
      <c r="AE714" s="866"/>
      <c r="AF714" s="866"/>
      <c r="AG714" s="866"/>
      <c r="AH714" s="866"/>
      <c r="AI714" s="866"/>
      <c r="AJ714" s="866"/>
      <c r="AK714" s="866"/>
      <c r="AL714" s="866"/>
      <c r="AM714" s="866"/>
      <c r="AN714" s="1198"/>
      <c r="AO714" s="1199"/>
      <c r="AP714" s="949"/>
      <c r="AQ714" s="949"/>
      <c r="AR714" s="949"/>
      <c r="AS714" s="949"/>
      <c r="AT714" s="949"/>
      <c r="AU714" s="1200"/>
      <c r="AV714" s="1200"/>
      <c r="AW714" s="1200"/>
      <c r="AX714" s="1200"/>
      <c r="AY714" s="1200"/>
      <c r="AZ714" s="1200"/>
      <c r="BA714" s="1200"/>
      <c r="BB714" s="988"/>
      <c r="BC714" s="988"/>
      <c r="BD714" s="909"/>
      <c r="BE714" s="949"/>
      <c r="BF714" s="949"/>
      <c r="BG714" s="949"/>
      <c r="BH714" s="949"/>
      <c r="BI714" s="949"/>
      <c r="BJ714" s="1200"/>
      <c r="BK714" s="1200"/>
      <c r="BL714" s="1200"/>
      <c r="BM714" s="1200"/>
      <c r="BN714" s="1200"/>
      <c r="BO714" s="1200"/>
      <c r="BP714" s="1200"/>
      <c r="BQ714" s="988"/>
      <c r="BR714" s="949"/>
      <c r="BS714" s="909"/>
      <c r="BT714" s="909"/>
      <c r="BU714" s="909"/>
      <c r="BV714" s="909"/>
      <c r="BW714" s="909"/>
      <c r="BX714" s="909"/>
      <c r="BY714" s="909"/>
      <c r="BZ714" s="909"/>
      <c r="CA714" s="909"/>
      <c r="CB714" s="909"/>
      <c r="CC714" s="909"/>
    </row>
    <row r="715" spans="1:81" s="855" customFormat="1" ht="12.75" hidden="1" customHeight="1">
      <c r="A715" s="1656"/>
      <c r="B715" s="866"/>
      <c r="C715" s="1170" t="s">
        <v>1844</v>
      </c>
      <c r="D715" s="949"/>
      <c r="E715" s="1173"/>
      <c r="F715" s="867"/>
      <c r="G715" s="867"/>
      <c r="H715" s="867"/>
      <c r="I715" s="867"/>
      <c r="J715" s="867"/>
      <c r="K715" s="867"/>
      <c r="L715" s="867"/>
      <c r="M715" s="867"/>
      <c r="N715" s="867"/>
      <c r="O715" s="867"/>
      <c r="P715" s="867"/>
      <c r="Q715" s="867"/>
      <c r="R715" s="867"/>
      <c r="S715" s="867"/>
      <c r="T715" s="867"/>
      <c r="U715" s="867"/>
      <c r="V715" s="867"/>
      <c r="W715" s="867"/>
      <c r="X715" s="867"/>
      <c r="Y715" s="867"/>
      <c r="Z715" s="867"/>
      <c r="AA715" s="867"/>
      <c r="AB715" s="867"/>
      <c r="AC715" s="867"/>
      <c r="AD715" s="866"/>
      <c r="AE715" s="866"/>
      <c r="AF715" s="866"/>
      <c r="AG715" s="867"/>
      <c r="AH715" s="867"/>
      <c r="AI715" s="867"/>
      <c r="AJ715" s="867"/>
      <c r="AK715" s="866"/>
      <c r="AL715" s="866"/>
      <c r="AM715" s="866"/>
      <c r="AN715" s="1198"/>
      <c r="AO715" s="1199"/>
      <c r="AP715" s="949"/>
      <c r="AQ715" s="949"/>
      <c r="AR715" s="949"/>
      <c r="AS715" s="949"/>
      <c r="AT715" s="949"/>
      <c r="AU715" s="1200"/>
      <c r="AV715" s="1200"/>
      <c r="AW715" s="1200"/>
      <c r="AX715" s="1200"/>
      <c r="AY715" s="1200"/>
      <c r="AZ715" s="1200"/>
      <c r="BA715" s="1200"/>
      <c r="BB715" s="988"/>
      <c r="BC715" s="988"/>
      <c r="BD715" s="909"/>
      <c r="BE715" s="949"/>
      <c r="BF715" s="949"/>
      <c r="BG715" s="949"/>
      <c r="BH715" s="949"/>
      <c r="BI715" s="949"/>
      <c r="BJ715" s="1200"/>
      <c r="BK715" s="1200"/>
      <c r="BL715" s="1200"/>
      <c r="BM715" s="1200"/>
      <c r="BN715" s="1200"/>
      <c r="BO715" s="1200"/>
      <c r="BP715" s="1200"/>
      <c r="BQ715" s="988"/>
      <c r="BR715" s="949"/>
      <c r="BS715" s="909"/>
      <c r="BT715" s="909"/>
      <c r="BU715" s="909"/>
      <c r="BV715" s="909"/>
      <c r="BW715" s="909"/>
      <c r="BX715" s="909"/>
      <c r="BY715" s="909"/>
      <c r="BZ715" s="909"/>
      <c r="CA715" s="909"/>
      <c r="CB715" s="909"/>
      <c r="CC715" s="909"/>
    </row>
    <row r="716" spans="1:81" s="1057" customFormat="1" ht="12.75" hidden="1" customHeight="1">
      <c r="A716" s="1656"/>
      <c r="B716" s="866"/>
      <c r="C716" s="3047" t="s">
        <v>628</v>
      </c>
      <c r="D716" s="3048"/>
      <c r="E716" s="1171" t="s">
        <v>542</v>
      </c>
      <c r="F716" s="3049" t="s">
        <v>1823</v>
      </c>
      <c r="G716" s="3049"/>
      <c r="H716" s="3049"/>
      <c r="I716" s="3049"/>
      <c r="J716" s="3049"/>
      <c r="K716" s="3049"/>
      <c r="L716" s="3049"/>
      <c r="M716" s="3049"/>
      <c r="N716" s="3049"/>
      <c r="O716" s="3049"/>
      <c r="P716" s="3049"/>
      <c r="Q716" s="3049"/>
      <c r="R716" s="3049"/>
      <c r="S716" s="3049"/>
      <c r="T716" s="3049"/>
      <c r="U716" s="3049"/>
      <c r="V716" s="3049"/>
      <c r="W716" s="3049"/>
      <c r="X716" s="3049"/>
      <c r="Y716" s="3049"/>
      <c r="Z716" s="3049"/>
      <c r="AA716" s="3049"/>
      <c r="AB716" s="3049"/>
      <c r="AC716" s="3049"/>
      <c r="AD716" s="3049"/>
      <c r="AE716" s="3049"/>
      <c r="AF716" s="1096"/>
      <c r="AG716" s="1130"/>
      <c r="AH716" s="1130"/>
      <c r="AI716" s="1130"/>
      <c r="AJ716" s="1130"/>
      <c r="AK716" s="1132"/>
      <c r="AL716" s="948"/>
      <c r="AM716" s="866"/>
      <c r="AN716" s="848"/>
      <c r="AO716" s="1028"/>
      <c r="AP716" s="949"/>
      <c r="AQ716" s="949"/>
      <c r="AR716" s="949"/>
      <c r="AS716" s="949"/>
      <c r="AT716" s="949"/>
      <c r="AU716" s="1201"/>
      <c r="AV716" s="1201"/>
      <c r="AW716" s="1201"/>
      <c r="AX716" s="1201"/>
      <c r="AY716" s="1201"/>
      <c r="AZ716" s="1201"/>
      <c r="BA716" s="1201"/>
      <c r="BB716" s="949"/>
      <c r="BC716" s="949"/>
      <c r="BD716" s="929"/>
      <c r="BE716" s="949"/>
      <c r="BF716" s="949"/>
      <c r="BG716" s="949"/>
      <c r="BH716" s="949"/>
      <c r="BI716" s="949"/>
      <c r="BJ716" s="1201"/>
      <c r="BK716" s="1201"/>
      <c r="BL716" s="1201"/>
      <c r="BM716" s="1201"/>
      <c r="BN716" s="1201"/>
      <c r="BO716" s="1201"/>
      <c r="BP716" s="1201"/>
      <c r="BQ716" s="949"/>
      <c r="BR716" s="949"/>
      <c r="BS716" s="929"/>
      <c r="BT716" s="929"/>
      <c r="BU716" s="929"/>
      <c r="BV716" s="929"/>
      <c r="BW716" s="929"/>
      <c r="BX716" s="929"/>
      <c r="BY716" s="929"/>
      <c r="BZ716" s="929"/>
      <c r="CA716" s="929"/>
      <c r="CB716" s="929"/>
      <c r="CC716" s="929"/>
    </row>
    <row r="717" spans="1:81" s="1057" customFormat="1" ht="12.75" hidden="1" customHeight="1">
      <c r="A717" s="1656"/>
      <c r="B717" s="866"/>
      <c r="C717" s="1172"/>
      <c r="D717" s="948"/>
      <c r="E717" s="1173"/>
      <c r="F717" s="3050"/>
      <c r="G717" s="3050"/>
      <c r="H717" s="3050"/>
      <c r="I717" s="3050"/>
      <c r="J717" s="3050"/>
      <c r="K717" s="3050"/>
      <c r="L717" s="3050"/>
      <c r="M717" s="3050"/>
      <c r="N717" s="3050"/>
      <c r="O717" s="3050"/>
      <c r="P717" s="3050"/>
      <c r="Q717" s="3050"/>
      <c r="R717" s="3050"/>
      <c r="S717" s="3050"/>
      <c r="T717" s="3050"/>
      <c r="U717" s="3050"/>
      <c r="V717" s="3050"/>
      <c r="W717" s="3050"/>
      <c r="X717" s="3050"/>
      <c r="Y717" s="3050"/>
      <c r="Z717" s="3050"/>
      <c r="AA717" s="3050"/>
      <c r="AB717" s="3050"/>
      <c r="AC717" s="3050"/>
      <c r="AD717" s="3050"/>
      <c r="AE717" s="3050"/>
      <c r="AF717" s="948"/>
      <c r="AG717" s="867"/>
      <c r="AH717" s="867"/>
      <c r="AI717" s="867"/>
      <c r="AJ717" s="867"/>
      <c r="AK717" s="1116"/>
      <c r="AL717" s="948"/>
      <c r="AM717" s="866"/>
      <c r="AN717" s="848"/>
      <c r="AO717" s="1028"/>
      <c r="AP717" s="1202"/>
      <c r="AQ717" s="1202"/>
      <c r="AR717" s="1202"/>
      <c r="AS717" s="1203"/>
      <c r="AT717" s="949"/>
      <c r="AU717" s="1204"/>
      <c r="AV717" s="1204"/>
      <c r="AW717" s="1204"/>
      <c r="AX717" s="1204"/>
      <c r="AY717" s="1204"/>
      <c r="AZ717" s="1204"/>
      <c r="BA717" s="1204"/>
      <c r="BB717" s="985"/>
      <c r="BC717" s="985"/>
      <c r="BD717" s="929"/>
      <c r="BE717" s="1202"/>
      <c r="BF717" s="1202"/>
      <c r="BG717" s="1202"/>
      <c r="BH717" s="1203"/>
      <c r="BI717" s="949"/>
      <c r="BJ717" s="1205"/>
      <c r="BK717" s="1204"/>
      <c r="BL717" s="1204"/>
      <c r="BM717" s="1204"/>
      <c r="BN717" s="1204"/>
      <c r="BO717" s="1204"/>
      <c r="BP717" s="1204"/>
      <c r="BQ717" s="985"/>
      <c r="BR717" s="949"/>
      <c r="BS717" s="929"/>
      <c r="BT717" s="929"/>
      <c r="BU717" s="929"/>
      <c r="BV717" s="929"/>
      <c r="BW717" s="929"/>
      <c r="BX717" s="929"/>
      <c r="BY717" s="929"/>
      <c r="BZ717" s="929"/>
      <c r="CA717" s="929"/>
      <c r="CB717" s="929"/>
      <c r="CC717" s="929"/>
    </row>
    <row r="718" spans="1:81" s="1057" customFormat="1" ht="12.75" hidden="1" customHeight="1">
      <c r="A718" s="1656"/>
      <c r="B718" s="866"/>
      <c r="C718" s="1174"/>
      <c r="D718" s="1111"/>
      <c r="E718" s="1175"/>
      <c r="F718" s="3060" t="s">
        <v>628</v>
      </c>
      <c r="G718" s="3060"/>
      <c r="H718" s="3060"/>
      <c r="I718" s="3060"/>
      <c r="J718" s="3060"/>
      <c r="K718" s="3060"/>
      <c r="L718" s="3060"/>
      <c r="M718" s="3060"/>
      <c r="N718" s="3060"/>
      <c r="O718" s="3060"/>
      <c r="P718" s="3060"/>
      <c r="Q718" s="3060"/>
      <c r="R718" s="3060"/>
      <c r="S718" s="3060"/>
      <c r="T718" s="3060"/>
      <c r="U718" s="3060"/>
      <c r="V718" s="3060"/>
      <c r="W718" s="3060"/>
      <c r="X718" s="3060"/>
      <c r="Y718" s="3060"/>
      <c r="Z718" s="3060"/>
      <c r="AA718" s="1176"/>
      <c r="AB718" s="1023"/>
      <c r="AC718" s="1023"/>
      <c r="AD718" s="1111"/>
      <c r="AE718" s="1111"/>
      <c r="AF718" s="1111"/>
      <c r="AG718" s="1177">
        <f>IF($C$716="Yes",(VLOOKUP($F$718,$AO$686:$AP$694,2,FALSE)),0)</f>
        <v>0</v>
      </c>
      <c r="AH718" s="1178" t="s">
        <v>1614</v>
      </c>
      <c r="AI718" s="1177"/>
      <c r="AJ718" s="1023"/>
      <c r="AK718" s="1127"/>
      <c r="AL718" s="948"/>
      <c r="AM718" s="866"/>
      <c r="AN718" s="848"/>
      <c r="AO718" s="1028"/>
      <c r="AP718" s="1202"/>
      <c r="AQ718" s="1202"/>
      <c r="AR718" s="1202"/>
      <c r="AS718" s="1203"/>
      <c r="AT718" s="949"/>
      <c r="AU718" s="1204"/>
      <c r="AV718" s="1204"/>
      <c r="AW718" s="1204"/>
      <c r="AX718" s="1204"/>
      <c r="AY718" s="1204"/>
      <c r="AZ718" s="1204"/>
      <c r="BA718" s="1204"/>
      <c r="BB718" s="985"/>
      <c r="BC718" s="985"/>
      <c r="BD718" s="929"/>
      <c r="BE718" s="1202"/>
      <c r="BF718" s="1202"/>
      <c r="BG718" s="1202"/>
      <c r="BH718" s="1203"/>
      <c r="BI718" s="949"/>
      <c r="BJ718" s="1205"/>
      <c r="BK718" s="1204"/>
      <c r="BL718" s="1204"/>
      <c r="BM718" s="1204"/>
      <c r="BN718" s="1204"/>
      <c r="BO718" s="1204"/>
      <c r="BP718" s="1204"/>
      <c r="BQ718" s="985"/>
      <c r="BR718" s="949"/>
      <c r="BS718" s="929"/>
      <c r="BT718" s="929"/>
      <c r="BU718" s="929"/>
      <c r="BV718" s="929"/>
      <c r="BW718" s="929"/>
      <c r="BX718" s="929"/>
      <c r="BY718" s="929"/>
      <c r="BZ718" s="929"/>
      <c r="CA718" s="929"/>
      <c r="CB718" s="929"/>
      <c r="CC718" s="929"/>
    </row>
    <row r="719" spans="1:81" s="1057" customFormat="1" ht="12.75" hidden="1" customHeight="1">
      <c r="A719" s="1656"/>
      <c r="B719" s="866"/>
      <c r="C719" s="1170"/>
      <c r="D719" s="949"/>
      <c r="E719" s="1173"/>
      <c r="F719" s="867"/>
      <c r="G719" s="867"/>
      <c r="H719" s="867"/>
      <c r="I719" s="867"/>
      <c r="J719" s="867"/>
      <c r="K719" s="867"/>
      <c r="L719" s="867"/>
      <c r="M719" s="867"/>
      <c r="N719" s="867"/>
      <c r="O719" s="867"/>
      <c r="P719" s="867"/>
      <c r="Q719" s="867"/>
      <c r="R719" s="867"/>
      <c r="S719" s="867"/>
      <c r="T719" s="867"/>
      <c r="U719" s="867"/>
      <c r="V719" s="867"/>
      <c r="W719" s="867"/>
      <c r="X719" s="867"/>
      <c r="Y719" s="867"/>
      <c r="Z719" s="867"/>
      <c r="AA719" s="867"/>
      <c r="AB719" s="867"/>
      <c r="AC719" s="867"/>
      <c r="AD719" s="948"/>
      <c r="AE719" s="948"/>
      <c r="AF719" s="948"/>
      <c r="AG719" s="867"/>
      <c r="AH719" s="867"/>
      <c r="AI719" s="867"/>
      <c r="AJ719" s="867"/>
      <c r="AK719" s="948"/>
      <c r="AL719" s="948"/>
      <c r="AM719" s="866"/>
      <c r="AN719" s="848"/>
      <c r="AO719" s="1028"/>
      <c r="AP719" s="1202"/>
      <c r="AQ719" s="1202"/>
      <c r="AR719" s="1202"/>
      <c r="AS719" s="1203"/>
      <c r="AT719" s="949"/>
      <c r="AU719" s="1204"/>
      <c r="AV719" s="1204"/>
      <c r="AW719" s="1204"/>
      <c r="AX719" s="1204"/>
      <c r="AY719" s="1204"/>
      <c r="AZ719" s="1204"/>
      <c r="BA719" s="1204"/>
      <c r="BB719" s="985"/>
      <c r="BC719" s="985"/>
      <c r="BD719" s="929"/>
      <c r="BE719" s="1202"/>
      <c r="BF719" s="1202"/>
      <c r="BG719" s="1202"/>
      <c r="BH719" s="1203"/>
      <c r="BI719" s="949"/>
      <c r="BJ719" s="1205"/>
      <c r="BK719" s="1204"/>
      <c r="BL719" s="1204"/>
      <c r="BM719" s="1204"/>
      <c r="BN719" s="1204"/>
      <c r="BO719" s="1204"/>
      <c r="BP719" s="1204"/>
      <c r="BQ719" s="985"/>
      <c r="BR719" s="949"/>
      <c r="BS719" s="929"/>
      <c r="BT719" s="929"/>
      <c r="BU719" s="929"/>
      <c r="BV719" s="929"/>
      <c r="BW719" s="929"/>
      <c r="BX719" s="929"/>
      <c r="BY719" s="929"/>
      <c r="BZ719" s="929"/>
      <c r="CA719" s="929"/>
      <c r="CB719" s="929"/>
      <c r="CC719" s="929"/>
    </row>
    <row r="720" spans="1:81" s="1057" customFormat="1" ht="12.75" hidden="1" customHeight="1">
      <c r="A720" s="983"/>
      <c r="B720" s="866"/>
      <c r="C720" s="3047" t="s">
        <v>628</v>
      </c>
      <c r="D720" s="3048"/>
      <c r="E720" s="1171" t="s">
        <v>802</v>
      </c>
      <c r="F720" s="3061" t="s">
        <v>1845</v>
      </c>
      <c r="G720" s="3061"/>
      <c r="H720" s="3061"/>
      <c r="I720" s="3061"/>
      <c r="J720" s="3061"/>
      <c r="K720" s="3061"/>
      <c r="L720" s="3061"/>
      <c r="M720" s="3061"/>
      <c r="N720" s="3061"/>
      <c r="O720" s="3061"/>
      <c r="P720" s="3061"/>
      <c r="Q720" s="3061"/>
      <c r="R720" s="3061"/>
      <c r="S720" s="3061"/>
      <c r="T720" s="3061"/>
      <c r="U720" s="3061"/>
      <c r="V720" s="3061"/>
      <c r="W720" s="3061"/>
      <c r="X720" s="3061"/>
      <c r="Y720" s="3061"/>
      <c r="Z720" s="3061"/>
      <c r="AA720" s="3061"/>
      <c r="AB720" s="3061"/>
      <c r="AC720" s="3061"/>
      <c r="AD720" s="3061"/>
      <c r="AE720" s="3061"/>
      <c r="AF720" s="1096"/>
      <c r="AG720" s="1010"/>
      <c r="AH720" s="1010"/>
      <c r="AI720" s="1010"/>
      <c r="AJ720" s="1010"/>
      <c r="AK720" s="1132"/>
      <c r="AL720" s="948"/>
      <c r="AM720" s="866"/>
      <c r="AN720" s="848"/>
      <c r="AO720" s="1028"/>
      <c r="AP720" s="1202"/>
      <c r="AQ720" s="1202"/>
      <c r="AR720" s="1202"/>
      <c r="AS720" s="1203"/>
      <c r="AT720" s="949"/>
      <c r="AU720" s="1204"/>
      <c r="AV720" s="1204"/>
      <c r="AW720" s="1204"/>
      <c r="AX720" s="1204"/>
      <c r="AY720" s="1204"/>
      <c r="AZ720" s="1204"/>
      <c r="BA720" s="1204"/>
      <c r="BB720" s="985"/>
      <c r="BC720" s="985"/>
      <c r="BD720" s="929"/>
      <c r="BE720" s="1202"/>
      <c r="BF720" s="1202"/>
      <c r="BG720" s="1202"/>
      <c r="BH720" s="1203"/>
      <c r="BI720" s="949"/>
      <c r="BJ720" s="1205"/>
      <c r="BK720" s="1204"/>
      <c r="BL720" s="1204"/>
      <c r="BM720" s="1204"/>
      <c r="BN720" s="1204"/>
      <c r="BO720" s="1204"/>
      <c r="BP720" s="1204"/>
      <c r="BQ720" s="985"/>
      <c r="BR720" s="949"/>
      <c r="BS720" s="929"/>
      <c r="BT720" s="929"/>
      <c r="BU720" s="929"/>
      <c r="BV720" s="929"/>
      <c r="BW720" s="929"/>
      <c r="BX720" s="929"/>
      <c r="BY720" s="929"/>
      <c r="BZ720" s="929"/>
      <c r="CA720" s="929"/>
      <c r="CB720" s="929"/>
      <c r="CC720" s="929"/>
    </row>
    <row r="721" spans="1:81" s="1057" customFormat="1" ht="12.75" hidden="1" customHeight="1">
      <c r="A721" s="983"/>
      <c r="B721" s="866"/>
      <c r="C721" s="1172"/>
      <c r="D721" s="948"/>
      <c r="E721" s="1173"/>
      <c r="F721" s="3062"/>
      <c r="G721" s="3062"/>
      <c r="H721" s="3062"/>
      <c r="I721" s="3062"/>
      <c r="J721" s="3062"/>
      <c r="K721" s="3062"/>
      <c r="L721" s="3062"/>
      <c r="M721" s="3062"/>
      <c r="N721" s="3062"/>
      <c r="O721" s="3062"/>
      <c r="P721" s="3062"/>
      <c r="Q721" s="3062"/>
      <c r="R721" s="3062"/>
      <c r="S721" s="3062"/>
      <c r="T721" s="3062"/>
      <c r="U721" s="3062"/>
      <c r="V721" s="3062"/>
      <c r="W721" s="3062"/>
      <c r="X721" s="3062"/>
      <c r="Y721" s="3062"/>
      <c r="Z721" s="3062"/>
      <c r="AA721" s="3062"/>
      <c r="AB721" s="3062"/>
      <c r="AC721" s="3062"/>
      <c r="AD721" s="3062"/>
      <c r="AE721" s="3062"/>
      <c r="AF721" s="948"/>
      <c r="AG721" s="867"/>
      <c r="AH721" s="867"/>
      <c r="AI721" s="867"/>
      <c r="AJ721" s="867"/>
      <c r="AK721" s="1116"/>
      <c r="AL721" s="948"/>
      <c r="AM721" s="866"/>
      <c r="AN721" s="848"/>
      <c r="AO721" s="1028"/>
      <c r="AP721" s="1202"/>
      <c r="AQ721" s="1202"/>
      <c r="AR721" s="1202"/>
      <c r="AS721" s="1203"/>
      <c r="AT721" s="949"/>
      <c r="AU721" s="1204"/>
      <c r="AV721" s="1204"/>
      <c r="AW721" s="1204"/>
      <c r="AX721" s="1204"/>
      <c r="AY721" s="1204"/>
      <c r="AZ721" s="1204"/>
      <c r="BA721" s="1204"/>
      <c r="BB721" s="985"/>
      <c r="BC721" s="985"/>
      <c r="BD721" s="929"/>
      <c r="BE721" s="1202"/>
      <c r="BF721" s="1202"/>
      <c r="BG721" s="1202"/>
      <c r="BH721" s="1203"/>
      <c r="BI721" s="949"/>
      <c r="BJ721" s="1205"/>
      <c r="BK721" s="1204"/>
      <c r="BL721" s="1204"/>
      <c r="BM721" s="1204"/>
      <c r="BN721" s="1204"/>
      <c r="BO721" s="1204"/>
      <c r="BP721" s="1204"/>
      <c r="BQ721" s="985"/>
      <c r="BR721" s="949"/>
      <c r="BS721" s="929"/>
      <c r="BT721" s="929"/>
      <c r="BU721" s="929"/>
      <c r="BV721" s="929"/>
      <c r="BW721" s="929"/>
      <c r="BX721" s="929"/>
      <c r="BY721" s="929"/>
      <c r="BZ721" s="929"/>
      <c r="CA721" s="929"/>
      <c r="CB721" s="929"/>
      <c r="CC721" s="929"/>
    </row>
    <row r="722" spans="1:81" s="1057" customFormat="1" ht="12.75" hidden="1" customHeight="1">
      <c r="A722" s="983"/>
      <c r="B722" s="866"/>
      <c r="C722" s="1124"/>
      <c r="D722" s="948"/>
      <c r="E722" s="948"/>
      <c r="F722" s="1195" t="s">
        <v>1846</v>
      </c>
      <c r="G722" s="867"/>
      <c r="H722" s="867"/>
      <c r="I722" s="867"/>
      <c r="J722" s="867"/>
      <c r="K722" s="867"/>
      <c r="L722" s="867"/>
      <c r="M722" s="867"/>
      <c r="N722" s="867"/>
      <c r="O722" s="867"/>
      <c r="P722" s="867"/>
      <c r="Q722" s="867"/>
      <c r="R722" s="867"/>
      <c r="S722" s="867"/>
      <c r="T722" s="867"/>
      <c r="U722" s="867"/>
      <c r="V722" s="867"/>
      <c r="W722" s="867"/>
      <c r="X722" s="867"/>
      <c r="Y722" s="867"/>
      <c r="Z722" s="867"/>
      <c r="AA722" s="867"/>
      <c r="AB722" s="867"/>
      <c r="AC722" s="1650"/>
      <c r="AD722" s="948"/>
      <c r="AE722" s="948"/>
      <c r="AF722" s="948"/>
      <c r="AG722" s="954"/>
      <c r="AH722" s="954"/>
      <c r="AI722" s="954"/>
      <c r="AJ722" s="954"/>
      <c r="AK722" s="1116"/>
      <c r="AL722" s="948"/>
      <c r="AM722" s="866"/>
      <c r="AN722" s="848"/>
      <c r="AO722" s="929"/>
      <c r="AP722" s="1202"/>
      <c r="AQ722" s="1202"/>
      <c r="AR722" s="1202"/>
      <c r="AS722" s="1203"/>
      <c r="AT722" s="949"/>
      <c r="AU722" s="1204"/>
      <c r="AV722" s="1204"/>
      <c r="AW722" s="1204"/>
      <c r="AX722" s="1204"/>
      <c r="AY722" s="1204"/>
      <c r="AZ722" s="1204"/>
      <c r="BA722" s="1204"/>
      <c r="BB722" s="929"/>
      <c r="BC722" s="929"/>
      <c r="BD722" s="929"/>
      <c r="BE722" s="1202"/>
      <c r="BF722" s="1202"/>
      <c r="BG722" s="1202"/>
      <c r="BH722" s="1203"/>
      <c r="BI722" s="949"/>
      <c r="BJ722" s="1205"/>
      <c r="BK722" s="1204"/>
      <c r="BL722" s="1204"/>
      <c r="BM722" s="1204"/>
      <c r="BN722" s="1204"/>
      <c r="BO722" s="1204"/>
      <c r="BP722" s="1204"/>
      <c r="BQ722" s="929"/>
      <c r="BR722" s="949"/>
      <c r="BS722" s="929"/>
      <c r="BT722" s="929"/>
      <c r="BU722" s="929"/>
      <c r="BV722" s="929"/>
      <c r="BW722" s="929"/>
      <c r="BX722" s="929"/>
      <c r="BY722" s="929"/>
      <c r="BZ722" s="929"/>
      <c r="CA722" s="929"/>
      <c r="CB722" s="929"/>
      <c r="CC722" s="929"/>
    </row>
    <row r="723" spans="1:81" s="1057" customFormat="1" ht="13.5" hidden="1" thickTop="1">
      <c r="A723" s="983"/>
      <c r="B723" s="866"/>
      <c r="C723" s="1174"/>
      <c r="D723" s="1111"/>
      <c r="E723" s="1175"/>
      <c r="F723" s="3063" t="s">
        <v>628</v>
      </c>
      <c r="G723" s="3063"/>
      <c r="H723" s="3063"/>
      <c r="I723" s="1023"/>
      <c r="J723" s="1023"/>
      <c r="K723" s="1023"/>
      <c r="L723" s="1023"/>
      <c r="M723" s="1023"/>
      <c r="N723" s="1023"/>
      <c r="O723" s="1023"/>
      <c r="P723" s="1023"/>
      <c r="Q723" s="1023"/>
      <c r="R723" s="1023"/>
      <c r="S723" s="1023"/>
      <c r="T723" s="1023"/>
      <c r="U723" s="1023"/>
      <c r="V723" s="1023"/>
      <c r="W723" s="1023"/>
      <c r="X723" s="1023"/>
      <c r="Y723" s="1023"/>
      <c r="Z723" s="1023"/>
      <c r="AA723" s="1023"/>
      <c r="AB723" s="1023"/>
      <c r="AC723" s="1023"/>
      <c r="AD723" s="1111"/>
      <c r="AE723" s="1111"/>
      <c r="AF723" s="1111"/>
      <c r="AG723" s="1177">
        <f>IF($C$720="Yes",(VLOOKUP($F$723,$AO$696:$AP$698,2,FALSE)),0)</f>
        <v>0</v>
      </c>
      <c r="AH723" s="1178" t="s">
        <v>1614</v>
      </c>
      <c r="AI723" s="1023"/>
      <c r="AJ723" s="1023"/>
      <c r="AK723" s="1127"/>
      <c r="AL723" s="948"/>
      <c r="AM723" s="866"/>
      <c r="AN723" s="848"/>
      <c r="AO723" s="929"/>
      <c r="AP723" s="1202"/>
      <c r="AQ723" s="1202"/>
      <c r="AR723" s="1202"/>
      <c r="AS723" s="1201"/>
      <c r="AT723" s="949"/>
      <c r="AU723" s="1204"/>
      <c r="AV723" s="1204"/>
      <c r="AW723" s="1204"/>
      <c r="AX723" s="1204"/>
      <c r="AY723" s="1204"/>
      <c r="AZ723" s="1204"/>
      <c r="BA723" s="1204"/>
      <c r="BB723" s="929"/>
      <c r="BC723" s="929"/>
      <c r="BD723" s="929"/>
      <c r="BE723" s="1202"/>
      <c r="BF723" s="1202"/>
      <c r="BG723" s="1202"/>
      <c r="BH723" s="1201"/>
      <c r="BI723" s="949"/>
      <c r="BJ723" s="1205"/>
      <c r="BK723" s="1204"/>
      <c r="BL723" s="1204"/>
      <c r="BM723" s="1204"/>
      <c r="BN723" s="1204"/>
      <c r="BO723" s="1204"/>
      <c r="BP723" s="1204"/>
      <c r="BQ723" s="929"/>
      <c r="BR723" s="949"/>
      <c r="BS723" s="929"/>
      <c r="BT723" s="929"/>
      <c r="BU723" s="929"/>
      <c r="BV723" s="929"/>
      <c r="BW723" s="929"/>
      <c r="BX723" s="929"/>
      <c r="BY723" s="929"/>
      <c r="BZ723" s="929"/>
      <c r="CA723" s="929"/>
      <c r="CB723" s="929"/>
      <c r="CC723" s="929"/>
    </row>
    <row r="724" spans="1:81" s="1057" customFormat="1" ht="13.5" hidden="1" thickTop="1">
      <c r="A724" s="867"/>
      <c r="B724" s="867"/>
      <c r="C724" s="867"/>
      <c r="D724" s="867"/>
      <c r="E724" s="867"/>
      <c r="F724" s="867"/>
      <c r="G724" s="867"/>
      <c r="H724" s="867"/>
      <c r="I724" s="867"/>
      <c r="J724" s="867"/>
      <c r="K724" s="867"/>
      <c r="L724" s="867"/>
      <c r="M724" s="867"/>
      <c r="N724" s="867"/>
      <c r="O724" s="867"/>
      <c r="P724" s="867"/>
      <c r="Q724" s="867"/>
      <c r="R724" s="867"/>
      <c r="S724" s="867"/>
      <c r="T724" s="867"/>
      <c r="U724" s="867"/>
      <c r="V724" s="867"/>
      <c r="W724" s="867"/>
      <c r="X724" s="867"/>
      <c r="Y724" s="867"/>
      <c r="Z724" s="867"/>
      <c r="AA724" s="867"/>
      <c r="AB724" s="867"/>
      <c r="AC724" s="867"/>
      <c r="AD724" s="867"/>
      <c r="AE724" s="948"/>
      <c r="AF724" s="948"/>
      <c r="AG724" s="954"/>
      <c r="AH724" s="1658"/>
      <c r="AI724" s="867"/>
      <c r="AJ724" s="867"/>
      <c r="AK724" s="948"/>
      <c r="AL724" s="948"/>
      <c r="AM724" s="866"/>
      <c r="AN724" s="848"/>
      <c r="AO724" s="929"/>
      <c r="AP724" s="1202"/>
      <c r="AQ724" s="1202"/>
      <c r="AR724" s="1202"/>
      <c r="AS724" s="1201"/>
      <c r="AT724" s="949"/>
      <c r="AU724" s="1204"/>
      <c r="AV724" s="1204"/>
      <c r="AW724" s="1204"/>
      <c r="AX724" s="1204"/>
      <c r="AY724" s="1204"/>
      <c r="AZ724" s="1204"/>
      <c r="BA724" s="1204"/>
      <c r="BB724" s="929"/>
      <c r="BC724" s="929"/>
      <c r="BD724" s="929"/>
      <c r="BE724" s="1202"/>
      <c r="BF724" s="1202"/>
      <c r="BG724" s="1202"/>
      <c r="BH724" s="1201"/>
      <c r="BI724" s="949"/>
      <c r="BJ724" s="1205"/>
      <c r="BK724" s="1204"/>
      <c r="BL724" s="1204"/>
      <c r="BM724" s="1204"/>
      <c r="BN724" s="1204"/>
      <c r="BO724" s="1204"/>
      <c r="BP724" s="1204"/>
      <c r="BQ724" s="929"/>
      <c r="BR724" s="949"/>
      <c r="BS724" s="929"/>
      <c r="BT724" s="929"/>
      <c r="BU724" s="929"/>
      <c r="BV724" s="929"/>
      <c r="BW724" s="929"/>
      <c r="BX724" s="929"/>
      <c r="BY724" s="929"/>
      <c r="BZ724" s="929"/>
      <c r="CA724" s="929"/>
      <c r="CB724" s="929"/>
      <c r="CC724" s="929"/>
    </row>
    <row r="725" spans="1:81" s="1057" customFormat="1" ht="13.5" hidden="1" thickTop="1">
      <c r="A725" s="983"/>
      <c r="B725" s="866"/>
      <c r="C725" s="3047" t="s">
        <v>628</v>
      </c>
      <c r="D725" s="3048"/>
      <c r="E725" s="1171" t="s">
        <v>1847</v>
      </c>
      <c r="F725" s="1193" t="s">
        <v>1848</v>
      </c>
      <c r="G725" s="1010"/>
      <c r="H725" s="1010"/>
      <c r="I725" s="1010"/>
      <c r="J725" s="1010"/>
      <c r="K725" s="1010"/>
      <c r="L725" s="1010"/>
      <c r="M725" s="1010"/>
      <c r="N725" s="1010"/>
      <c r="O725" s="1010"/>
      <c r="P725" s="1010"/>
      <c r="Q725" s="1010"/>
      <c r="R725" s="1010"/>
      <c r="S725" s="1010"/>
      <c r="T725" s="1010"/>
      <c r="U725" s="1010"/>
      <c r="V725" s="1010"/>
      <c r="W725" s="1010"/>
      <c r="X725" s="1010"/>
      <c r="Y725" s="1010"/>
      <c r="Z725" s="1010"/>
      <c r="AA725" s="1010"/>
      <c r="AB725" s="1010"/>
      <c r="AC725" s="1206"/>
      <c r="AD725" s="1096"/>
      <c r="AE725" s="1096"/>
      <c r="AF725" s="1096"/>
      <c r="AG725" s="1207"/>
      <c r="AH725" s="1207"/>
      <c r="AI725" s="1207"/>
      <c r="AJ725" s="1207"/>
      <c r="AK725" s="1132"/>
      <c r="AL725" s="948"/>
      <c r="AM725" s="866"/>
      <c r="AN725" s="848"/>
      <c r="AO725" s="929"/>
      <c r="AP725" s="1202"/>
      <c r="AQ725" s="1202"/>
      <c r="AR725" s="1202"/>
      <c r="AS725" s="1201"/>
      <c r="AT725" s="949"/>
      <c r="AU725" s="1204"/>
      <c r="AV725" s="1204"/>
      <c r="AW725" s="1204"/>
      <c r="AX725" s="1204"/>
      <c r="AY725" s="1204"/>
      <c r="AZ725" s="1204"/>
      <c r="BA725" s="1204"/>
      <c r="BB725" s="929"/>
      <c r="BC725" s="929"/>
      <c r="BD725" s="929"/>
      <c r="BE725" s="1202"/>
      <c r="BF725" s="1202"/>
      <c r="BG725" s="1202"/>
      <c r="BH725" s="1201"/>
      <c r="BI725" s="949"/>
      <c r="BJ725" s="1205"/>
      <c r="BK725" s="1204"/>
      <c r="BL725" s="1204"/>
      <c r="BM725" s="1204"/>
      <c r="BN725" s="1204"/>
      <c r="BO725" s="1204"/>
      <c r="BP725" s="1204"/>
      <c r="BQ725" s="929"/>
      <c r="BR725" s="949"/>
      <c r="BS725" s="929"/>
      <c r="BT725" s="929"/>
      <c r="BU725" s="929"/>
      <c r="BV725" s="929"/>
      <c r="BW725" s="929"/>
      <c r="BX725" s="929"/>
      <c r="BY725" s="929"/>
      <c r="BZ725" s="929"/>
      <c r="CA725" s="929"/>
      <c r="CB725" s="929"/>
      <c r="CC725" s="929"/>
    </row>
    <row r="726" spans="1:81" s="1057" customFormat="1" ht="13.5" hidden="1" thickTop="1">
      <c r="A726" s="949"/>
      <c r="B726" s="866"/>
      <c r="C726" s="1172"/>
      <c r="D726" s="948"/>
      <c r="E726" s="1173"/>
      <c r="F726" s="867"/>
      <c r="G726" s="867"/>
      <c r="H726" s="867"/>
      <c r="I726" s="867"/>
      <c r="J726" s="867"/>
      <c r="K726" s="867"/>
      <c r="L726" s="867"/>
      <c r="M726" s="867"/>
      <c r="N726" s="867"/>
      <c r="O726" s="867"/>
      <c r="P726" s="867"/>
      <c r="Q726" s="867"/>
      <c r="R726" s="867"/>
      <c r="S726" s="867"/>
      <c r="T726" s="867"/>
      <c r="U726" s="867"/>
      <c r="V726" s="867"/>
      <c r="W726" s="867"/>
      <c r="X726" s="867"/>
      <c r="Y726" s="867"/>
      <c r="Z726" s="867"/>
      <c r="AA726" s="867"/>
      <c r="AB726" s="867"/>
      <c r="AC726" s="867"/>
      <c r="AD726" s="948"/>
      <c r="AE726" s="948"/>
      <c r="AF726" s="948"/>
      <c r="AG726" s="867"/>
      <c r="AH726" s="867"/>
      <c r="AI726" s="867"/>
      <c r="AJ726" s="867"/>
      <c r="AK726" s="1116"/>
      <c r="AL726" s="948"/>
      <c r="AM726" s="866"/>
      <c r="AN726" s="848"/>
      <c r="AO726" s="929"/>
      <c r="AP726" s="1202"/>
      <c r="AQ726" s="1202"/>
      <c r="AR726" s="1202"/>
      <c r="AS726" s="1201"/>
      <c r="AT726" s="949"/>
      <c r="AU726" s="1204"/>
      <c r="AV726" s="1204"/>
      <c r="AW726" s="1204"/>
      <c r="AX726" s="1204"/>
      <c r="AY726" s="1204"/>
      <c r="AZ726" s="1204"/>
      <c r="BA726" s="1204"/>
      <c r="BB726" s="929"/>
      <c r="BC726" s="929"/>
      <c r="BD726" s="929"/>
      <c r="BE726" s="1202"/>
      <c r="BF726" s="1202"/>
      <c r="BG726" s="1202"/>
      <c r="BH726" s="1201"/>
      <c r="BI726" s="949"/>
      <c r="BJ726" s="1205"/>
      <c r="BK726" s="1204"/>
      <c r="BL726" s="1204"/>
      <c r="BM726" s="1204"/>
      <c r="BN726" s="1204"/>
      <c r="BO726" s="1204"/>
      <c r="BP726" s="1204"/>
      <c r="BQ726" s="929"/>
      <c r="BR726" s="985"/>
      <c r="BS726" s="929"/>
      <c r="BT726" s="929"/>
      <c r="BU726" s="929"/>
      <c r="BV726" s="929"/>
      <c r="BW726" s="929"/>
      <c r="BX726" s="929"/>
      <c r="BY726" s="929"/>
      <c r="BZ726" s="929"/>
      <c r="CA726" s="929"/>
      <c r="CB726" s="929"/>
      <c r="CC726" s="929"/>
    </row>
    <row r="727" spans="1:81" s="1057" customFormat="1" ht="13.5" hidden="1" thickTop="1">
      <c r="A727" s="949"/>
      <c r="B727" s="866"/>
      <c r="C727" s="3054"/>
      <c r="D727" s="3044"/>
      <c r="E727" s="1183"/>
      <c r="F727" s="867" t="s">
        <v>1849</v>
      </c>
      <c r="G727" s="867"/>
      <c r="H727" s="867"/>
      <c r="I727" s="867"/>
      <c r="J727" s="867"/>
      <c r="K727" s="867"/>
      <c r="L727" s="867"/>
      <c r="M727" s="867"/>
      <c r="N727" s="867"/>
      <c r="O727" s="867"/>
      <c r="P727" s="867"/>
      <c r="Q727" s="867"/>
      <c r="R727" s="867"/>
      <c r="S727" s="867"/>
      <c r="T727" s="867"/>
      <c r="U727" s="867"/>
      <c r="V727" s="867"/>
      <c r="W727" s="867"/>
      <c r="X727" s="867"/>
      <c r="Y727" s="867"/>
      <c r="Z727" s="867"/>
      <c r="AA727" s="867"/>
      <c r="AB727" s="867"/>
      <c r="AC727" s="1650"/>
      <c r="AD727" s="948"/>
      <c r="AE727" s="948"/>
      <c r="AF727" s="948"/>
      <c r="AG727" s="954">
        <f>IF($C$725="Yes",(VLOOKUP($G$728,$AO$703:$AP$706,2,FALSE)),0)</f>
        <v>0</v>
      </c>
      <c r="AH727" s="1658" t="s">
        <v>1614</v>
      </c>
      <c r="AI727" s="867"/>
      <c r="AJ727" s="954"/>
      <c r="AK727" s="1116"/>
      <c r="AL727" s="948"/>
      <c r="AM727" s="866"/>
      <c r="AN727" s="848"/>
      <c r="AO727" s="929"/>
      <c r="AP727" s="1202"/>
      <c r="AQ727" s="1202"/>
      <c r="AR727" s="1202"/>
      <c r="AS727" s="1201"/>
      <c r="AT727" s="949"/>
      <c r="AU727" s="1204"/>
      <c r="AV727" s="1204"/>
      <c r="AW727" s="1204"/>
      <c r="AX727" s="1204"/>
      <c r="AY727" s="1204"/>
      <c r="AZ727" s="1204"/>
      <c r="BA727" s="1204"/>
      <c r="BB727" s="929"/>
      <c r="BC727" s="929"/>
      <c r="BD727" s="929"/>
      <c r="BE727" s="1202"/>
      <c r="BF727" s="1202"/>
      <c r="BG727" s="1202"/>
      <c r="BH727" s="1201"/>
      <c r="BI727" s="949"/>
      <c r="BJ727" s="1205"/>
      <c r="BK727" s="1204"/>
      <c r="BL727" s="1204"/>
      <c r="BM727" s="1204"/>
      <c r="BN727" s="1204"/>
      <c r="BO727" s="1204"/>
      <c r="BP727" s="1204"/>
      <c r="BQ727" s="929"/>
      <c r="BR727" s="949"/>
      <c r="BS727" s="929"/>
      <c r="BT727" s="929"/>
      <c r="BU727" s="929"/>
      <c r="BV727" s="929"/>
      <c r="BW727" s="929"/>
      <c r="BX727" s="929"/>
      <c r="BY727" s="929"/>
      <c r="BZ727" s="929"/>
      <c r="CA727" s="929"/>
      <c r="CB727" s="929"/>
      <c r="CC727" s="929"/>
    </row>
    <row r="728" spans="1:81" s="1057" customFormat="1" ht="13.5" hidden="1" thickTop="1">
      <c r="A728" s="949"/>
      <c r="B728" s="866"/>
      <c r="C728" s="1172"/>
      <c r="D728" s="949"/>
      <c r="E728" s="1173"/>
      <c r="F728" s="867"/>
      <c r="G728" s="3055" t="s">
        <v>628</v>
      </c>
      <c r="H728" s="3055"/>
      <c r="I728" s="3055"/>
      <c r="J728" s="3055"/>
      <c r="K728" s="3055"/>
      <c r="L728" s="3055"/>
      <c r="M728" s="3055"/>
      <c r="N728" s="3055"/>
      <c r="O728" s="3055"/>
      <c r="P728" s="3055"/>
      <c r="Q728" s="3055"/>
      <c r="R728" s="3055"/>
      <c r="S728" s="3055"/>
      <c r="T728" s="3055"/>
      <c r="U728" s="3055"/>
      <c r="V728" s="3055"/>
      <c r="W728" s="3055"/>
      <c r="X728" s="3055"/>
      <c r="Y728" s="3055"/>
      <c r="Z728" s="3055"/>
      <c r="AA728" s="3055"/>
      <c r="AB728" s="3055"/>
      <c r="AC728" s="3055"/>
      <c r="AD728" s="3055"/>
      <c r="AE728" s="3055"/>
      <c r="AF728" s="3055"/>
      <c r="AG728" s="948"/>
      <c r="AH728" s="948"/>
      <c r="AI728" s="948"/>
      <c r="AJ728" s="867"/>
      <c r="AK728" s="1116"/>
      <c r="AL728" s="948"/>
      <c r="AM728" s="866"/>
      <c r="AN728" s="848"/>
      <c r="AO728" s="929"/>
      <c r="AP728" s="1202"/>
      <c r="AQ728" s="1202"/>
      <c r="AR728" s="1202"/>
      <c r="AS728" s="1201"/>
      <c r="AT728" s="949"/>
      <c r="AU728" s="1204"/>
      <c r="AV728" s="1204"/>
      <c r="AW728" s="1204"/>
      <c r="AX728" s="1204"/>
      <c r="AY728" s="1204"/>
      <c r="AZ728" s="1204"/>
      <c r="BA728" s="1204"/>
      <c r="BB728" s="929"/>
      <c r="BC728" s="929"/>
      <c r="BD728" s="929"/>
      <c r="BE728" s="1202"/>
      <c r="BF728" s="1202"/>
      <c r="BG728" s="1202"/>
      <c r="BH728" s="1201"/>
      <c r="BI728" s="949"/>
      <c r="BJ728" s="1205"/>
      <c r="BK728" s="1204"/>
      <c r="BL728" s="1204"/>
      <c r="BM728" s="1204"/>
      <c r="BN728" s="1204"/>
      <c r="BO728" s="1204"/>
      <c r="BP728" s="1204"/>
      <c r="BQ728" s="929"/>
      <c r="BR728" s="949"/>
      <c r="BS728" s="929"/>
      <c r="BT728" s="929"/>
      <c r="BU728" s="929"/>
      <c r="BV728" s="929"/>
      <c r="BW728" s="929"/>
      <c r="BX728" s="929"/>
      <c r="BY728" s="929"/>
      <c r="BZ728" s="929"/>
      <c r="CA728" s="929"/>
      <c r="CB728" s="929"/>
      <c r="CC728" s="929"/>
    </row>
    <row r="729" spans="1:81" s="1057" customFormat="1" ht="13.5" hidden="1" thickTop="1">
      <c r="A729" s="949"/>
      <c r="B729" s="866"/>
      <c r="C729" s="1208"/>
      <c r="D729" s="887"/>
      <c r="E729" s="887"/>
      <c r="F729" s="986"/>
      <c r="G729" s="1209"/>
      <c r="H729" s="1209"/>
      <c r="I729" s="1209"/>
      <c r="J729" s="1209"/>
      <c r="K729" s="1209"/>
      <c r="L729" s="1209"/>
      <c r="M729" s="1209"/>
      <c r="N729" s="1209"/>
      <c r="O729" s="1209"/>
      <c r="P729" s="1209"/>
      <c r="Q729" s="1209"/>
      <c r="R729" s="1209"/>
      <c r="S729" s="1209"/>
      <c r="T729" s="1209"/>
      <c r="U729" s="1209"/>
      <c r="V729" s="1209"/>
      <c r="W729" s="1209"/>
      <c r="X729" s="1209"/>
      <c r="Y729" s="1209"/>
      <c r="Z729" s="1209"/>
      <c r="AA729" s="1209"/>
      <c r="AB729" s="1209"/>
      <c r="AC729" s="1209"/>
      <c r="AD729" s="948"/>
      <c r="AE729" s="948"/>
      <c r="AF729" s="948"/>
      <c r="AG729" s="1209"/>
      <c r="AH729" s="1209"/>
      <c r="AI729" s="1209"/>
      <c r="AJ729" s="1209"/>
      <c r="AK729" s="1116"/>
      <c r="AL729" s="948"/>
      <c r="AM729" s="866"/>
      <c r="AN729" s="848"/>
      <c r="AO729" s="929"/>
      <c r="AP729" s="1202"/>
      <c r="AQ729" s="1202"/>
      <c r="AR729" s="1202"/>
      <c r="AS729" s="1201"/>
      <c r="AT729" s="949"/>
      <c r="AU729" s="1204"/>
      <c r="AV729" s="1204"/>
      <c r="AW729" s="1204"/>
      <c r="AX729" s="1204"/>
      <c r="AY729" s="1204"/>
      <c r="AZ729" s="1204"/>
      <c r="BA729" s="1204"/>
      <c r="BB729" s="929"/>
      <c r="BC729" s="929"/>
      <c r="BD729" s="929"/>
      <c r="BE729" s="1202"/>
      <c r="BF729" s="1202"/>
      <c r="BG729" s="1202"/>
      <c r="BH729" s="1201"/>
      <c r="BI729" s="949"/>
      <c r="BJ729" s="1205"/>
      <c r="BK729" s="1204"/>
      <c r="BL729" s="1204"/>
      <c r="BM729" s="1204"/>
      <c r="BN729" s="1204"/>
      <c r="BO729" s="1204"/>
      <c r="BP729" s="1204"/>
      <c r="BQ729" s="929"/>
      <c r="BR729" s="949"/>
      <c r="BS729" s="929"/>
      <c r="BT729" s="929"/>
      <c r="BU729" s="929"/>
      <c r="BV729" s="929"/>
      <c r="BW729" s="929"/>
      <c r="BX729" s="929"/>
      <c r="BY729" s="929"/>
      <c r="BZ729" s="929"/>
      <c r="CA729" s="929"/>
      <c r="CB729" s="929"/>
      <c r="CC729" s="929"/>
    </row>
    <row r="730" spans="1:81" s="1057" customFormat="1" ht="12.75" hidden="1" customHeight="1">
      <c r="A730" s="51"/>
      <c r="B730" s="866"/>
      <c r="C730" s="3056" t="s">
        <v>628</v>
      </c>
      <c r="D730" s="3057"/>
      <c r="E730" s="887"/>
      <c r="F730" s="867" t="s">
        <v>1850</v>
      </c>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1650"/>
      <c r="AD730" s="948"/>
      <c r="AE730" s="948"/>
      <c r="AF730" s="948"/>
      <c r="AG730" s="954">
        <f>IF(AND($C$730="Yes",$C$725="Yes"),2,0)</f>
        <v>0</v>
      </c>
      <c r="AH730" s="1658" t="s">
        <v>1614</v>
      </c>
      <c r="AI730" s="867"/>
      <c r="AJ730" s="1655"/>
      <c r="AK730" s="1116"/>
      <c r="AL730" s="948"/>
      <c r="AM730" s="866"/>
      <c r="AN730" s="848"/>
      <c r="AO730" s="929"/>
      <c r="AP730" s="1202"/>
      <c r="AQ730" s="1202"/>
      <c r="AR730" s="1202"/>
      <c r="AS730" s="1201"/>
      <c r="AT730" s="949"/>
      <c r="AU730" s="1204"/>
      <c r="AV730" s="1204"/>
      <c r="AW730" s="1204"/>
      <c r="AX730" s="1204"/>
      <c r="AY730" s="1204"/>
      <c r="AZ730" s="1204"/>
      <c r="BA730" s="1204"/>
      <c r="BB730" s="929"/>
      <c r="BC730" s="929"/>
      <c r="BD730" s="929"/>
      <c r="BE730" s="1202"/>
      <c r="BF730" s="1202"/>
      <c r="BG730" s="1202"/>
      <c r="BH730" s="1201"/>
      <c r="BI730" s="949"/>
      <c r="BJ730" s="1205"/>
      <c r="BK730" s="1204"/>
      <c r="BL730" s="1204"/>
      <c r="BM730" s="1204"/>
      <c r="BN730" s="1204"/>
      <c r="BO730" s="1204"/>
      <c r="BP730" s="1204"/>
      <c r="BQ730" s="929"/>
      <c r="BR730" s="949"/>
      <c r="BS730" s="929"/>
      <c r="BT730" s="929"/>
      <c r="BU730" s="929"/>
      <c r="BV730" s="929"/>
      <c r="BW730" s="929"/>
      <c r="BX730" s="929"/>
      <c r="BY730" s="929"/>
      <c r="BZ730" s="929"/>
      <c r="CA730" s="929"/>
      <c r="CB730" s="929"/>
      <c r="CC730" s="929"/>
    </row>
    <row r="731" spans="1:81" s="1057" customFormat="1" ht="13.5" hidden="1" thickTop="1">
      <c r="A731" s="51"/>
      <c r="B731" s="866"/>
      <c r="C731" s="1194"/>
      <c r="D731" s="1653"/>
      <c r="E731" s="1653"/>
      <c r="F731" s="867"/>
      <c r="G731" s="867" t="s">
        <v>1851</v>
      </c>
      <c r="H731" s="867"/>
      <c r="I731" s="867"/>
      <c r="J731" s="867"/>
      <c r="K731" s="867"/>
      <c r="L731" s="867"/>
      <c r="M731" s="867"/>
      <c r="N731" s="867"/>
      <c r="O731" s="867"/>
      <c r="P731" s="867"/>
      <c r="Q731" s="867"/>
      <c r="R731" s="867"/>
      <c r="S731" s="867"/>
      <c r="T731" s="867"/>
      <c r="U731" s="867"/>
      <c r="V731" s="867"/>
      <c r="W731" s="867"/>
      <c r="X731" s="867"/>
      <c r="Y731" s="867"/>
      <c r="Z731" s="867"/>
      <c r="AA731" s="867"/>
      <c r="AB731" s="867"/>
      <c r="AC731" s="1650"/>
      <c r="AD731" s="948"/>
      <c r="AE731" s="948"/>
      <c r="AF731" s="948"/>
      <c r="AG731" s="1655"/>
      <c r="AH731" s="1655"/>
      <c r="AI731" s="1655"/>
      <c r="AJ731" s="1655"/>
      <c r="AK731" s="1116"/>
      <c r="AL731" s="948"/>
      <c r="AM731" s="866"/>
      <c r="AN731" s="924"/>
      <c r="AO731" s="929"/>
      <c r="AP731" s="1202"/>
      <c r="AQ731" s="1202"/>
      <c r="AR731" s="1202"/>
      <c r="AS731" s="1201"/>
      <c r="AT731" s="949"/>
      <c r="AU731" s="1204"/>
      <c r="AV731" s="1204"/>
      <c r="AW731" s="1204"/>
      <c r="AX731" s="1204"/>
      <c r="AY731" s="1204"/>
      <c r="AZ731" s="1204"/>
      <c r="BA731" s="1204"/>
      <c r="BB731" s="929"/>
      <c r="BC731" s="929"/>
      <c r="BD731" s="929"/>
      <c r="BE731" s="1202"/>
      <c r="BF731" s="1202"/>
      <c r="BG731" s="1202"/>
      <c r="BH731" s="1201"/>
      <c r="BI731" s="949"/>
      <c r="BJ731" s="1205"/>
      <c r="BK731" s="1204"/>
      <c r="BL731" s="1204"/>
      <c r="BM731" s="1204"/>
      <c r="BN731" s="1204"/>
      <c r="BO731" s="1204"/>
      <c r="BP731" s="1204"/>
      <c r="BQ731" s="929"/>
      <c r="BR731" s="949"/>
      <c r="BS731" s="929"/>
      <c r="BT731" s="929"/>
      <c r="BU731" s="929"/>
      <c r="BV731" s="929"/>
      <c r="BW731" s="929"/>
      <c r="BX731" s="929"/>
      <c r="BY731" s="929"/>
      <c r="BZ731" s="929"/>
      <c r="CA731" s="929"/>
      <c r="CB731" s="929"/>
      <c r="CC731" s="929"/>
    </row>
    <row r="732" spans="1:81" s="925" customFormat="1" ht="12.75" hidden="1" customHeight="1">
      <c r="A732" s="985"/>
      <c r="B732" s="949"/>
      <c r="C732" s="1194"/>
      <c r="D732" s="1653"/>
      <c r="E732" s="1653"/>
      <c r="F732" s="867"/>
      <c r="G732" s="867" t="s">
        <v>1852</v>
      </c>
      <c r="H732" s="867"/>
      <c r="I732" s="867"/>
      <c r="J732" s="867"/>
      <c r="K732" s="867"/>
      <c r="L732" s="867"/>
      <c r="M732" s="867"/>
      <c r="N732" s="867"/>
      <c r="O732" s="867"/>
      <c r="P732" s="867"/>
      <c r="Q732" s="867"/>
      <c r="R732" s="867"/>
      <c r="S732" s="867"/>
      <c r="T732" s="867"/>
      <c r="U732" s="867"/>
      <c r="V732" s="867"/>
      <c r="W732" s="867"/>
      <c r="X732" s="867"/>
      <c r="Y732" s="867"/>
      <c r="Z732" s="867"/>
      <c r="AA732" s="867"/>
      <c r="AB732" s="867"/>
      <c r="AC732" s="1650"/>
      <c r="AD732" s="949"/>
      <c r="AE732" s="949"/>
      <c r="AF732" s="949"/>
      <c r="AG732" s="1655"/>
      <c r="AH732" s="1655"/>
      <c r="AI732" s="1655"/>
      <c r="AJ732" s="1655"/>
      <c r="AK732" s="1210"/>
      <c r="AL732" s="949"/>
      <c r="AM732" s="949"/>
      <c r="AN732" s="849"/>
      <c r="AO732" s="949"/>
      <c r="AP732" s="929"/>
      <c r="AQ732" s="929"/>
      <c r="AR732" s="929"/>
      <c r="AS732" s="949"/>
      <c r="AT732" s="949"/>
      <c r="AU732" s="949"/>
      <c r="AV732" s="949"/>
      <c r="AW732" s="949"/>
      <c r="AX732" s="949"/>
      <c r="AY732" s="949"/>
      <c r="AZ732" s="949"/>
      <c r="BA732" s="949"/>
      <c r="BB732" s="949"/>
      <c r="BC732" s="949"/>
      <c r="BD732" s="949"/>
      <c r="BE732" s="949"/>
      <c r="BF732" s="949"/>
      <c r="BG732" s="949"/>
      <c r="BH732" s="949"/>
      <c r="BI732" s="949"/>
      <c r="BJ732" s="949"/>
      <c r="BK732" s="949"/>
      <c r="BL732" s="949"/>
      <c r="BM732" s="949"/>
      <c r="BN732" s="949"/>
      <c r="BO732" s="949"/>
      <c r="BP732" s="949"/>
      <c r="BQ732" s="949"/>
      <c r="BR732" s="949"/>
      <c r="BS732" s="949"/>
      <c r="BT732" s="949"/>
      <c r="BU732" s="949"/>
      <c r="BV732" s="949"/>
      <c r="BW732" s="949"/>
      <c r="BX732" s="949"/>
      <c r="BY732" s="949"/>
      <c r="BZ732" s="949"/>
      <c r="CA732" s="949"/>
      <c r="CB732" s="949"/>
      <c r="CC732" s="949"/>
    </row>
    <row r="733" spans="1:81" s="866" customFormat="1" ht="12.75" hidden="1" customHeight="1">
      <c r="A733" s="1042"/>
      <c r="B733" s="51"/>
      <c r="C733" s="1211"/>
      <c r="D733" s="985"/>
      <c r="E733" s="949"/>
      <c r="F733" s="949"/>
      <c r="G733" s="1041"/>
      <c r="H733" s="1041"/>
      <c r="I733" s="1041"/>
      <c r="J733" s="1041"/>
      <c r="K733" s="1041"/>
      <c r="L733" s="1041"/>
      <c r="M733" s="1041"/>
      <c r="N733" s="1041"/>
      <c r="O733" s="1041"/>
      <c r="P733" s="1041"/>
      <c r="Q733" s="1041"/>
      <c r="R733" s="1041"/>
      <c r="S733" s="1041"/>
      <c r="T733" s="1041"/>
      <c r="U733" s="1041"/>
      <c r="V733" s="1041"/>
      <c r="W733" s="1041"/>
      <c r="X733" s="1041"/>
      <c r="Y733" s="1041"/>
      <c r="Z733" s="1041"/>
      <c r="AA733" s="1041"/>
      <c r="AB733" s="1041"/>
      <c r="AC733" s="1041"/>
      <c r="AD733" s="1041"/>
      <c r="AE733" s="1041"/>
      <c r="AF733" s="1041"/>
      <c r="AG733" s="1650"/>
      <c r="AH733" s="1650"/>
      <c r="AI733" s="1650"/>
      <c r="AJ733" s="1650"/>
      <c r="AK733" s="1212"/>
      <c r="AL733" s="112"/>
      <c r="AM733" s="51"/>
      <c r="AN733" s="849"/>
      <c r="AO733" s="929"/>
      <c r="AP733" s="929"/>
      <c r="AQ733" s="929"/>
      <c r="AR733" s="929"/>
      <c r="AS733" s="949"/>
      <c r="AT733" s="949"/>
      <c r="AU733" s="949"/>
      <c r="AV733" s="949"/>
      <c r="AW733" s="949"/>
      <c r="AX733" s="949"/>
      <c r="AY733" s="949"/>
      <c r="AZ733" s="949"/>
      <c r="BA733" s="949"/>
      <c r="BB733" s="949"/>
      <c r="BC733" s="949"/>
      <c r="BD733" s="949"/>
      <c r="BE733" s="949"/>
      <c r="BF733" s="949"/>
      <c r="BG733" s="949"/>
      <c r="BH733" s="949"/>
      <c r="BI733" s="949"/>
      <c r="BJ733" s="949"/>
      <c r="BK733" s="949"/>
      <c r="BL733" s="949"/>
      <c r="BM733" s="949"/>
      <c r="BN733" s="949"/>
      <c r="BO733" s="949"/>
      <c r="BP733" s="949"/>
      <c r="BQ733" s="949"/>
      <c r="BR733" s="949"/>
      <c r="BS733" s="949"/>
      <c r="BT733" s="949"/>
      <c r="BU733" s="949"/>
      <c r="BV733" s="949"/>
      <c r="BW733" s="949"/>
      <c r="BX733" s="949"/>
      <c r="BY733" s="949"/>
      <c r="BZ733" s="949"/>
      <c r="CA733" s="949"/>
      <c r="CB733" s="949"/>
      <c r="CC733" s="949"/>
    </row>
    <row r="734" spans="1:81" s="866" customFormat="1" ht="12.75" hidden="1" customHeight="1">
      <c r="A734" s="1042"/>
      <c r="C734" s="3056" t="s">
        <v>628</v>
      </c>
      <c r="D734" s="3057"/>
      <c r="E734" s="948"/>
      <c r="F734" s="1213" t="s">
        <v>1853</v>
      </c>
      <c r="G734" s="3058" t="s">
        <v>1854</v>
      </c>
      <c r="H734" s="3058"/>
      <c r="I734" s="3058"/>
      <c r="J734" s="3058"/>
      <c r="K734" s="3058"/>
      <c r="L734" s="3058"/>
      <c r="M734" s="3058"/>
      <c r="N734" s="3058"/>
      <c r="O734" s="3058"/>
      <c r="P734" s="3058"/>
      <c r="Q734" s="3058"/>
      <c r="R734" s="3058"/>
      <c r="S734" s="3058"/>
      <c r="T734" s="3058"/>
      <c r="U734" s="3058"/>
      <c r="V734" s="3058"/>
      <c r="W734" s="3058"/>
      <c r="X734" s="3058"/>
      <c r="Y734" s="3058"/>
      <c r="Z734" s="3058"/>
      <c r="AA734" s="3058"/>
      <c r="AB734" s="3058"/>
      <c r="AC734" s="3058"/>
      <c r="AD734" s="3058"/>
      <c r="AE734" s="3058"/>
      <c r="AF734" s="3058"/>
      <c r="AG734" s="954">
        <f>IF(AND($C$734="Yes",$C$725="Yes"),2,0)</f>
        <v>0</v>
      </c>
      <c r="AH734" s="1658" t="s">
        <v>1614</v>
      </c>
      <c r="AI734" s="867"/>
      <c r="AJ734" s="1655"/>
      <c r="AK734" s="1116"/>
      <c r="AL734" s="948"/>
      <c r="AN734" s="849"/>
      <c r="AO734" s="949"/>
      <c r="AP734" s="949"/>
      <c r="AQ734" s="949"/>
      <c r="AR734" s="949"/>
      <c r="AS734" s="949"/>
      <c r="AT734" s="949"/>
      <c r="AU734" s="949"/>
      <c r="AV734" s="949"/>
      <c r="AW734" s="949"/>
      <c r="AX734" s="949"/>
      <c r="AY734" s="949"/>
      <c r="AZ734" s="935"/>
      <c r="BA734" s="949"/>
      <c r="BB734" s="949"/>
      <c r="BC734" s="960"/>
      <c r="BD734" s="935"/>
      <c r="BE734" s="935"/>
      <c r="BF734" s="935"/>
      <c r="BG734" s="949"/>
      <c r="BH734" s="949"/>
      <c r="BI734" s="949"/>
      <c r="BJ734" s="949"/>
      <c r="BK734" s="949"/>
      <c r="BL734" s="949"/>
      <c r="BM734" s="929"/>
      <c r="BN734" s="909"/>
      <c r="BO734" s="929"/>
      <c r="BP734" s="909"/>
      <c r="BQ734" s="909"/>
      <c r="BR734" s="909"/>
      <c r="BS734" s="909"/>
      <c r="BT734" s="909"/>
      <c r="BU734" s="909"/>
      <c r="BV734" s="929"/>
      <c r="BW734" s="929"/>
      <c r="BX734" s="929"/>
      <c r="BY734" s="929"/>
      <c r="BZ734" s="929"/>
      <c r="CA734" s="929"/>
      <c r="CB734" s="929"/>
      <c r="CC734" s="929"/>
    </row>
    <row r="735" spans="1:81" s="866" customFormat="1" ht="12.75" hidden="1" customHeight="1">
      <c r="A735" s="983"/>
      <c r="C735" s="1214"/>
      <c r="D735" s="1215"/>
      <c r="E735" s="1175"/>
      <c r="F735" s="1216"/>
      <c r="G735" s="3059"/>
      <c r="H735" s="3059"/>
      <c r="I735" s="3059"/>
      <c r="J735" s="3059"/>
      <c r="K735" s="3059"/>
      <c r="L735" s="3059"/>
      <c r="M735" s="3059"/>
      <c r="N735" s="3059"/>
      <c r="O735" s="3059"/>
      <c r="P735" s="3059"/>
      <c r="Q735" s="3059"/>
      <c r="R735" s="3059"/>
      <c r="S735" s="3059"/>
      <c r="T735" s="3059"/>
      <c r="U735" s="3059"/>
      <c r="V735" s="3059"/>
      <c r="W735" s="3059"/>
      <c r="X735" s="3059"/>
      <c r="Y735" s="3059"/>
      <c r="Z735" s="3059"/>
      <c r="AA735" s="3059"/>
      <c r="AB735" s="3059"/>
      <c r="AC735" s="3059"/>
      <c r="AD735" s="3059"/>
      <c r="AE735" s="3059"/>
      <c r="AF735" s="3059"/>
      <c r="AG735" s="1023"/>
      <c r="AH735" s="1023"/>
      <c r="AI735" s="1023"/>
      <c r="AJ735" s="1023"/>
      <c r="AK735" s="1127"/>
      <c r="AL735" s="948"/>
      <c r="AN735" s="849"/>
      <c r="AO735" s="949"/>
      <c r="AP735" s="949"/>
      <c r="AQ735" s="949"/>
      <c r="AR735" s="949"/>
      <c r="AS735" s="949"/>
      <c r="AT735" s="949"/>
      <c r="AU735" s="949"/>
      <c r="AV735" s="949"/>
      <c r="AW735" s="949"/>
      <c r="AX735" s="949"/>
      <c r="AY735" s="949"/>
      <c r="AZ735" s="935"/>
      <c r="BA735" s="949"/>
      <c r="BB735" s="949"/>
      <c r="BC735" s="960"/>
      <c r="BD735" s="935"/>
      <c r="BE735" s="935"/>
      <c r="BF735" s="935"/>
      <c r="BG735" s="949"/>
      <c r="BH735" s="949"/>
      <c r="BI735" s="949"/>
      <c r="BJ735" s="949"/>
      <c r="BK735" s="949"/>
      <c r="BL735" s="949"/>
      <c r="BM735" s="928"/>
      <c r="BN735" s="928"/>
      <c r="BO735" s="928"/>
      <c r="BP735" s="928"/>
      <c r="BQ735" s="928"/>
      <c r="BR735" s="928"/>
      <c r="BS735" s="928"/>
      <c r="BT735" s="928"/>
      <c r="BU735" s="928"/>
      <c r="BV735" s="928"/>
      <c r="BW735" s="928"/>
      <c r="BX735" s="928"/>
      <c r="BY735" s="928"/>
      <c r="BZ735" s="928"/>
      <c r="CA735" s="928"/>
      <c r="CB735" s="928"/>
      <c r="CC735" s="928"/>
    </row>
    <row r="736" spans="1:81" s="925" customFormat="1" ht="12.75" hidden="1" customHeight="1">
      <c r="A736" s="983"/>
      <c r="B736" s="866"/>
      <c r="C736" s="946"/>
      <c r="D736" s="949"/>
      <c r="E736" s="1173"/>
      <c r="F736" s="950"/>
      <c r="G736" s="1654"/>
      <c r="H736" s="1654"/>
      <c r="I736" s="1654"/>
      <c r="J736" s="1654"/>
      <c r="K736" s="1654"/>
      <c r="L736" s="1654"/>
      <c r="M736" s="1654"/>
      <c r="N736" s="1654"/>
      <c r="O736" s="1654"/>
      <c r="P736" s="1654"/>
      <c r="Q736" s="1654"/>
      <c r="R736" s="1654"/>
      <c r="S736" s="1654"/>
      <c r="T736" s="1654"/>
      <c r="U736" s="1654"/>
      <c r="V736" s="1654"/>
      <c r="W736" s="1654"/>
      <c r="X736" s="1654"/>
      <c r="Y736" s="1654"/>
      <c r="Z736" s="1654"/>
      <c r="AA736" s="1654"/>
      <c r="AB736" s="1654"/>
      <c r="AC736" s="1654"/>
      <c r="AD736" s="1654"/>
      <c r="AE736" s="1654"/>
      <c r="AF736" s="1654"/>
      <c r="AG736" s="867"/>
      <c r="AH736" s="867"/>
      <c r="AI736" s="867"/>
      <c r="AJ736" s="867"/>
      <c r="AK736" s="948"/>
      <c r="AL736" s="948"/>
      <c r="AM736" s="866"/>
      <c r="AN736" s="852"/>
      <c r="AO736" s="949"/>
      <c r="AP736" s="935"/>
      <c r="AQ736" s="935"/>
      <c r="AR736" s="935"/>
      <c r="AS736" s="935"/>
      <c r="AT736" s="935"/>
      <c r="AU736" s="935"/>
      <c r="AV736" s="935"/>
      <c r="AW736" s="935"/>
      <c r="AX736" s="935"/>
      <c r="AY736" s="935"/>
      <c r="AZ736" s="935"/>
      <c r="BA736" s="935"/>
      <c r="BB736" s="935"/>
      <c r="BC736" s="935"/>
      <c r="BD736" s="935"/>
      <c r="BE736" s="935"/>
      <c r="BF736" s="935"/>
      <c r="BG736" s="935"/>
      <c r="BH736" s="935"/>
      <c r="BI736" s="960"/>
      <c r="BJ736" s="1217"/>
      <c r="BK736" s="1217"/>
      <c r="BL736" s="949"/>
      <c r="BM736" s="928"/>
      <c r="BN736" s="928"/>
      <c r="BO736" s="928"/>
      <c r="BP736" s="928"/>
      <c r="BQ736" s="928"/>
      <c r="BR736" s="928"/>
      <c r="BS736" s="928"/>
      <c r="BT736" s="928"/>
      <c r="BU736" s="928"/>
      <c r="BV736" s="928"/>
      <c r="BW736" s="928"/>
      <c r="BX736" s="928"/>
      <c r="BY736" s="928"/>
      <c r="BZ736" s="928"/>
      <c r="CA736" s="928"/>
      <c r="CB736" s="928"/>
      <c r="CC736" s="928"/>
    </row>
    <row r="737" spans="1:81" s="866" customFormat="1" ht="12.75" hidden="1" customHeight="1">
      <c r="A737" s="983"/>
      <c r="C737" s="1218" t="s">
        <v>1855</v>
      </c>
      <c r="D737" s="1166"/>
      <c r="E737" s="1219"/>
      <c r="F737" s="1220"/>
      <c r="G737" s="1221"/>
      <c r="H737" s="1221"/>
      <c r="I737" s="1221"/>
      <c r="J737" s="1221"/>
      <c r="K737" s="1221"/>
      <c r="L737" s="1221"/>
      <c r="M737" s="1221"/>
      <c r="N737" s="1221"/>
      <c r="O737" s="1221"/>
      <c r="P737" s="1221"/>
      <c r="Q737" s="1221"/>
      <c r="R737" s="1221"/>
      <c r="S737" s="1221"/>
      <c r="T737" s="1221"/>
      <c r="U737" s="1221"/>
      <c r="V737" s="1221"/>
      <c r="W737" s="1221"/>
      <c r="X737" s="1221"/>
      <c r="Y737" s="1221"/>
      <c r="Z737" s="1221"/>
      <c r="AA737" s="1221"/>
      <c r="AB737" s="1221"/>
      <c r="AC737" s="1221"/>
      <c r="AD737" s="1221"/>
      <c r="AE737" s="1221"/>
      <c r="AF737" s="1221"/>
      <c r="AG737" s="1010"/>
      <c r="AH737" s="1010"/>
      <c r="AI737" s="1010"/>
      <c r="AJ737" s="1010"/>
      <c r="AK737" s="1132"/>
      <c r="AL737" s="948"/>
      <c r="AN737" s="923"/>
      <c r="AO737" s="949"/>
      <c r="AP737" s="935"/>
      <c r="AQ737" s="935"/>
      <c r="AR737" s="935"/>
      <c r="AS737" s="935"/>
      <c r="AT737" s="935"/>
      <c r="AU737" s="935"/>
      <c r="AV737" s="935"/>
      <c r="AW737" s="935"/>
      <c r="AX737" s="935"/>
      <c r="AY737" s="935"/>
      <c r="AZ737" s="935"/>
      <c r="BA737" s="935"/>
      <c r="BB737" s="935"/>
      <c r="BC737" s="935"/>
      <c r="BD737" s="935"/>
      <c r="BE737" s="935"/>
      <c r="BF737" s="935"/>
      <c r="BG737" s="935"/>
      <c r="BH737" s="935"/>
      <c r="BI737" s="1042"/>
      <c r="BJ737" s="1217"/>
      <c r="BK737" s="1217"/>
      <c r="BL737" s="949"/>
      <c r="BM737" s="928"/>
      <c r="BN737" s="928"/>
      <c r="BO737" s="928"/>
      <c r="BP737" s="928"/>
      <c r="BQ737" s="928"/>
      <c r="BR737" s="928"/>
      <c r="BS737" s="928"/>
      <c r="BT737" s="928"/>
      <c r="BU737" s="928"/>
      <c r="BV737" s="928"/>
      <c r="BW737" s="928"/>
      <c r="BX737" s="928"/>
      <c r="BY737" s="928"/>
      <c r="BZ737" s="928"/>
      <c r="CA737" s="928"/>
      <c r="CB737" s="928"/>
      <c r="CC737" s="928"/>
    </row>
    <row r="738" spans="1:81" s="866" customFormat="1" ht="12.75" hidden="1" customHeight="1">
      <c r="A738" s="983"/>
      <c r="C738" s="3071" t="s">
        <v>628</v>
      </c>
      <c r="D738" s="3072"/>
      <c r="E738" s="1222" t="s">
        <v>1856</v>
      </c>
      <c r="F738" s="1182" t="s">
        <v>1857</v>
      </c>
      <c r="G738" s="1654"/>
      <c r="H738" s="1654"/>
      <c r="I738" s="1654"/>
      <c r="J738" s="1654"/>
      <c r="K738" s="1654"/>
      <c r="L738" s="1654"/>
      <c r="M738" s="1654"/>
      <c r="N738" s="1654"/>
      <c r="O738" s="1654"/>
      <c r="P738" s="1654"/>
      <c r="Q738" s="1654"/>
      <c r="R738" s="1654"/>
      <c r="S738" s="1654"/>
      <c r="T738" s="1654"/>
      <c r="U738" s="1654"/>
      <c r="V738" s="1654"/>
      <c r="W738" s="1654"/>
      <c r="X738" s="1654"/>
      <c r="Y738" s="1654"/>
      <c r="Z738" s="1654"/>
      <c r="AA738" s="1654"/>
      <c r="AB738" s="1654"/>
      <c r="AC738" s="1654"/>
      <c r="AD738" s="1654"/>
      <c r="AE738" s="1654"/>
      <c r="AF738" s="1654"/>
      <c r="AG738" s="954">
        <f>IF(C$738="Yes",(VLOOKUP(F$739,$AO$709:$AP$712,2,FALSE)),0)</f>
        <v>0</v>
      </c>
      <c r="AH738" s="1658" t="s">
        <v>1614</v>
      </c>
      <c r="AI738" s="867"/>
      <c r="AJ738" s="867"/>
      <c r="AK738" s="1116"/>
      <c r="AL738" s="948"/>
      <c r="AN738" s="923"/>
      <c r="AO738" s="949"/>
      <c r="AP738" s="935"/>
      <c r="AQ738" s="935"/>
      <c r="AR738" s="935"/>
      <c r="AS738" s="935"/>
      <c r="AT738" s="935"/>
      <c r="AU738" s="935"/>
      <c r="AV738" s="935"/>
      <c r="AW738" s="935"/>
      <c r="AX738" s="935"/>
      <c r="AY738" s="935"/>
      <c r="AZ738" s="935"/>
      <c r="BA738" s="935"/>
      <c r="BB738" s="935"/>
      <c r="BC738" s="935"/>
      <c r="BD738" s="935"/>
      <c r="BE738" s="935"/>
      <c r="BF738" s="935"/>
      <c r="BG738" s="935"/>
      <c r="BH738" s="935"/>
      <c r="BI738" s="1042"/>
      <c r="BJ738" s="1217"/>
      <c r="BK738" s="1217"/>
      <c r="BL738" s="949"/>
      <c r="BM738" s="946"/>
      <c r="BN738" s="946"/>
      <c r="BO738" s="946"/>
      <c r="BP738" s="946"/>
      <c r="BQ738" s="946"/>
      <c r="BR738" s="946"/>
      <c r="BS738" s="946"/>
      <c r="BT738" s="946"/>
      <c r="BU738" s="946"/>
      <c r="BV738" s="946"/>
      <c r="BW738" s="946"/>
      <c r="BX738" s="946"/>
      <c r="BY738" s="946"/>
      <c r="BZ738" s="946"/>
      <c r="CA738" s="946"/>
      <c r="CB738" s="946"/>
      <c r="CC738" s="946"/>
    </row>
    <row r="739" spans="1:81" s="866" customFormat="1" ht="12.75" hidden="1" customHeight="1">
      <c r="A739" s="983"/>
      <c r="C739" s="1223"/>
      <c r="D739" s="949"/>
      <c r="E739" s="1173"/>
      <c r="F739" s="3073" t="s">
        <v>628</v>
      </c>
      <c r="G739" s="3073"/>
      <c r="H739" s="3073"/>
      <c r="I739" s="3073"/>
      <c r="J739" s="3073"/>
      <c r="K739" s="3073"/>
      <c r="L739" s="3073"/>
      <c r="M739" s="3073"/>
      <c r="N739" s="3073"/>
      <c r="O739" s="3073"/>
      <c r="P739" s="3073"/>
      <c r="Q739" s="3073"/>
      <c r="R739" s="3073"/>
      <c r="S739" s="3073"/>
      <c r="T739" s="3073"/>
      <c r="U739" s="3073"/>
      <c r="V739" s="3073"/>
      <c r="W739" s="3073"/>
      <c r="X739" s="3073"/>
      <c r="Y739" s="3073"/>
      <c r="Z739" s="3073"/>
      <c r="AA739" s="3073"/>
      <c r="AB739" s="3073"/>
      <c r="AC739" s="3073"/>
      <c r="AD739" s="3073"/>
      <c r="AE739" s="3073"/>
      <c r="AF739" s="3073"/>
      <c r="AG739" s="867"/>
      <c r="AH739" s="867"/>
      <c r="AI739" s="867"/>
      <c r="AJ739" s="867"/>
      <c r="AK739" s="1116"/>
      <c r="AL739" s="948"/>
      <c r="AN739" s="923"/>
      <c r="AO739" s="949"/>
      <c r="AP739" s="949"/>
      <c r="AQ739" s="949"/>
      <c r="AR739" s="949"/>
      <c r="AS739" s="949"/>
      <c r="AT739" s="949"/>
      <c r="AU739" s="949"/>
      <c r="AV739" s="949"/>
      <c r="AW739" s="949"/>
      <c r="AX739" s="949"/>
      <c r="AY739" s="949"/>
      <c r="AZ739" s="949"/>
      <c r="BA739" s="949"/>
      <c r="BB739" s="949"/>
      <c r="BC739" s="949"/>
      <c r="BD739" s="949"/>
      <c r="BE739" s="949"/>
      <c r="BF739" s="949"/>
      <c r="BG739" s="949"/>
      <c r="BH739" s="949"/>
      <c r="BI739" s="949"/>
      <c r="BJ739" s="949"/>
      <c r="BK739" s="949"/>
      <c r="BL739" s="949"/>
      <c r="BM739" s="946"/>
      <c r="BN739" s="946"/>
      <c r="BO739" s="946"/>
      <c r="BP739" s="946"/>
      <c r="BQ739" s="946"/>
      <c r="BR739" s="946"/>
      <c r="BS739" s="946"/>
      <c r="BT739" s="946"/>
      <c r="BU739" s="946"/>
      <c r="BV739" s="946"/>
      <c r="BW739" s="946"/>
      <c r="BX739" s="946"/>
      <c r="BY739" s="946"/>
      <c r="BZ739" s="946"/>
      <c r="CA739" s="946"/>
      <c r="CB739" s="946"/>
      <c r="CC739" s="946"/>
    </row>
    <row r="740" spans="1:81" s="866" customFormat="1" ht="12.75" hidden="1" customHeight="1">
      <c r="A740" s="983"/>
      <c r="C740" s="1214"/>
      <c r="D740" s="1111"/>
      <c r="E740" s="1175"/>
      <c r="F740" s="3074"/>
      <c r="G740" s="3074"/>
      <c r="H740" s="3074"/>
      <c r="I740" s="3074"/>
      <c r="J740" s="3074"/>
      <c r="K740" s="3074"/>
      <c r="L740" s="3074"/>
      <c r="M740" s="3074"/>
      <c r="N740" s="3074"/>
      <c r="O740" s="3074"/>
      <c r="P740" s="3074"/>
      <c r="Q740" s="3074"/>
      <c r="R740" s="3074"/>
      <c r="S740" s="3074"/>
      <c r="T740" s="3074"/>
      <c r="U740" s="3074"/>
      <c r="V740" s="3074"/>
      <c r="W740" s="3074"/>
      <c r="X740" s="3074"/>
      <c r="Y740" s="3074"/>
      <c r="Z740" s="3074"/>
      <c r="AA740" s="3074"/>
      <c r="AB740" s="3074"/>
      <c r="AC740" s="3074"/>
      <c r="AD740" s="3074"/>
      <c r="AE740" s="3074"/>
      <c r="AF740" s="3074"/>
      <c r="AG740" s="1023"/>
      <c r="AH740" s="1023"/>
      <c r="AI740" s="1023"/>
      <c r="AJ740" s="1023"/>
      <c r="AK740" s="1127"/>
      <c r="AL740" s="948"/>
      <c r="AN740" s="923"/>
      <c r="AO740" s="949"/>
      <c r="AP740" s="949"/>
      <c r="AQ740" s="949"/>
      <c r="AR740" s="949"/>
      <c r="AS740" s="949"/>
      <c r="AT740" s="949"/>
      <c r="AU740" s="949"/>
      <c r="AV740" s="949"/>
      <c r="AW740" s="949"/>
      <c r="AX740" s="949"/>
      <c r="AY740" s="949"/>
      <c r="AZ740" s="949"/>
      <c r="BA740" s="949"/>
      <c r="BB740" s="949"/>
      <c r="BC740" s="949"/>
      <c r="BD740" s="949"/>
      <c r="BE740" s="949"/>
      <c r="BF740" s="949"/>
      <c r="BG740" s="949"/>
      <c r="BH740" s="949"/>
      <c r="BI740" s="949"/>
      <c r="BJ740" s="949"/>
      <c r="BK740" s="949"/>
      <c r="BL740" s="949"/>
      <c r="BM740" s="946"/>
      <c r="BN740" s="946"/>
      <c r="BO740" s="946"/>
      <c r="BP740" s="946"/>
      <c r="BQ740" s="946"/>
      <c r="BR740" s="946"/>
      <c r="BS740" s="946"/>
      <c r="BT740" s="946"/>
      <c r="BU740" s="946"/>
      <c r="BV740" s="946"/>
      <c r="BW740" s="946"/>
      <c r="BX740" s="946"/>
      <c r="BY740" s="946"/>
      <c r="BZ740" s="946"/>
      <c r="CA740" s="946"/>
      <c r="CB740" s="946"/>
      <c r="CC740" s="946"/>
    </row>
    <row r="741" spans="1:81" s="866" customFormat="1" ht="12.75" hidden="1" customHeight="1">
      <c r="A741" s="1042"/>
      <c r="C741" s="867"/>
      <c r="E741" s="867"/>
      <c r="F741" s="1182"/>
      <c r="G741" s="867"/>
      <c r="H741" s="867"/>
      <c r="I741" s="867"/>
      <c r="J741" s="867"/>
      <c r="K741" s="867"/>
      <c r="L741" s="867"/>
      <c r="M741" s="867"/>
      <c r="N741" s="867"/>
      <c r="O741" s="867"/>
      <c r="P741" s="867"/>
      <c r="Q741" s="867"/>
      <c r="R741" s="867"/>
      <c r="S741" s="867"/>
      <c r="T741" s="867"/>
      <c r="U741" s="867"/>
      <c r="V741" s="867"/>
      <c r="W741" s="867"/>
      <c r="X741" s="867"/>
      <c r="Y741" s="867"/>
      <c r="Z741" s="867"/>
      <c r="AA741" s="867"/>
      <c r="AB741" s="867"/>
      <c r="AC741" s="867"/>
      <c r="AD741" s="958"/>
      <c r="AE741" s="867"/>
      <c r="AF741" s="867"/>
      <c r="AG741" s="867"/>
      <c r="AH741" s="867"/>
      <c r="AI741" s="949"/>
      <c r="AK741" s="949"/>
      <c r="AL741" s="949"/>
      <c r="AM741" s="949"/>
      <c r="AN741" s="923"/>
      <c r="AO741" s="949"/>
      <c r="AP741" s="949"/>
      <c r="AQ741" s="949"/>
      <c r="AR741" s="949"/>
      <c r="AS741" s="949"/>
      <c r="AT741" s="949"/>
      <c r="AU741" s="949"/>
      <c r="AV741" s="949"/>
      <c r="AW741" s="949"/>
      <c r="AX741" s="949"/>
      <c r="AY741" s="949"/>
      <c r="AZ741" s="949"/>
      <c r="BA741" s="949"/>
      <c r="BB741" s="949"/>
      <c r="BC741" s="949"/>
      <c r="BD741" s="949"/>
      <c r="BE741" s="949"/>
      <c r="BF741" s="949"/>
      <c r="BG741" s="949"/>
      <c r="BH741" s="949"/>
      <c r="BI741" s="949"/>
      <c r="BJ741" s="949"/>
      <c r="BK741" s="949"/>
      <c r="BL741" s="949"/>
      <c r="BM741" s="946"/>
      <c r="BN741" s="946"/>
      <c r="BO741" s="946"/>
      <c r="BP741" s="946"/>
      <c r="BQ741" s="946"/>
      <c r="BR741" s="946"/>
      <c r="BS741" s="946"/>
      <c r="BT741" s="946"/>
      <c r="BU741" s="946"/>
      <c r="BV741" s="946"/>
      <c r="BW741" s="946"/>
      <c r="BX741" s="946"/>
      <c r="BY741" s="946"/>
      <c r="BZ741" s="946"/>
      <c r="CA741" s="946"/>
      <c r="CB741" s="946"/>
      <c r="CC741" s="946"/>
    </row>
    <row r="742" spans="1:81" s="866" customFormat="1" ht="12.75" hidden="1" customHeight="1">
      <c r="A742" s="1042"/>
      <c r="B742" s="1224" t="s">
        <v>1858</v>
      </c>
      <c r="C742" s="867"/>
      <c r="E742" s="867"/>
      <c r="F742" s="867"/>
      <c r="G742" s="867"/>
      <c r="H742" s="867"/>
      <c r="I742" s="867"/>
      <c r="J742" s="867"/>
      <c r="K742" s="867"/>
      <c r="L742" s="867"/>
      <c r="M742" s="867"/>
      <c r="N742" s="867"/>
      <c r="O742" s="867"/>
      <c r="P742" s="867"/>
      <c r="Q742" s="867"/>
      <c r="R742" s="867"/>
      <c r="S742" s="867"/>
      <c r="T742" s="867"/>
      <c r="U742" s="867"/>
      <c r="V742" s="867"/>
      <c r="W742" s="867"/>
      <c r="X742" s="867"/>
      <c r="Y742" s="867"/>
      <c r="Z742" s="867"/>
      <c r="AA742" s="867"/>
      <c r="AB742" s="867"/>
      <c r="AC742" s="867"/>
      <c r="AD742" s="958"/>
      <c r="AE742" s="867"/>
      <c r="AF742" s="867"/>
      <c r="AG742" s="867"/>
      <c r="AH742" s="867"/>
      <c r="AI742" s="949"/>
      <c r="AK742" s="949"/>
      <c r="AL742" s="949"/>
      <c r="AM742" s="949"/>
      <c r="AN742" s="923"/>
      <c r="AO742" s="949"/>
      <c r="AP742" s="1200"/>
      <c r="AQ742" s="1200"/>
      <c r="AR742" s="1200"/>
      <c r="AS742" s="1200"/>
      <c r="AT742" s="1200"/>
      <c r="AU742" s="1200"/>
      <c r="AV742" s="1200"/>
      <c r="AW742" s="1200"/>
      <c r="AX742" s="1200"/>
      <c r="AY742" s="1200"/>
      <c r="AZ742" s="949"/>
      <c r="BA742" s="949"/>
      <c r="BB742" s="949"/>
      <c r="BC742" s="949"/>
      <c r="BD742" s="949"/>
      <c r="BE742" s="949"/>
      <c r="BF742" s="949"/>
      <c r="BG742" s="949"/>
      <c r="BH742" s="949"/>
      <c r="BI742" s="949"/>
      <c r="BJ742" s="949"/>
      <c r="BK742" s="949"/>
      <c r="BL742" s="949"/>
      <c r="BM742" s="946"/>
      <c r="BN742" s="946"/>
      <c r="BO742" s="946"/>
      <c r="BP742" s="946"/>
      <c r="BQ742" s="946"/>
      <c r="BR742" s="946"/>
      <c r="BS742" s="946"/>
      <c r="BT742" s="946"/>
      <c r="BU742" s="946"/>
      <c r="BV742" s="946"/>
      <c r="BW742" s="946"/>
      <c r="BX742" s="946"/>
      <c r="BY742" s="946"/>
      <c r="BZ742" s="946"/>
      <c r="CA742" s="946"/>
      <c r="CB742" s="946"/>
      <c r="CC742" s="946"/>
    </row>
    <row r="743" spans="1:81" s="866" customFormat="1" ht="12.75" hidden="1" customHeight="1">
      <c r="A743" s="1042"/>
      <c r="B743" s="1224" t="s">
        <v>1859</v>
      </c>
      <c r="C743" s="867"/>
      <c r="E743" s="867"/>
      <c r="F743" s="867"/>
      <c r="G743" s="867"/>
      <c r="H743" s="867"/>
      <c r="I743" s="867"/>
      <c r="J743" s="867"/>
      <c r="K743" s="867"/>
      <c r="L743" s="867"/>
      <c r="M743" s="867"/>
      <c r="N743" s="867"/>
      <c r="O743" s="867"/>
      <c r="P743" s="867"/>
      <c r="Q743" s="867"/>
      <c r="R743" s="867"/>
      <c r="S743" s="867"/>
      <c r="T743" s="867"/>
      <c r="U743" s="867"/>
      <c r="V743" s="867"/>
      <c r="W743" s="867"/>
      <c r="X743" s="867"/>
      <c r="Y743" s="867"/>
      <c r="Z743" s="867"/>
      <c r="AA743" s="867"/>
      <c r="AB743" s="867"/>
      <c r="AC743" s="867"/>
      <c r="AD743" s="958"/>
      <c r="AE743" s="867"/>
      <c r="AF743" s="867"/>
      <c r="AG743" s="867"/>
      <c r="AH743" s="867"/>
      <c r="AI743" s="949"/>
      <c r="AK743" s="949"/>
      <c r="AL743" s="949"/>
      <c r="AM743" s="949"/>
      <c r="AN743" s="923"/>
      <c r="AO743" s="949"/>
      <c r="AP743" s="1225"/>
      <c r="AQ743" s="1225"/>
      <c r="AR743" s="1225"/>
      <c r="AS743" s="1225"/>
      <c r="AT743" s="1225"/>
      <c r="AU743" s="1225"/>
      <c r="AV743" s="1225"/>
      <c r="AW743" s="1225"/>
      <c r="AX743" s="1225"/>
      <c r="AY743" s="1225"/>
      <c r="AZ743" s="949"/>
      <c r="BA743" s="949"/>
      <c r="BB743" s="949"/>
      <c r="BC743" s="949"/>
      <c r="BD743" s="949"/>
      <c r="BE743" s="949"/>
      <c r="BF743" s="949"/>
      <c r="BG743" s="949"/>
      <c r="BH743" s="949"/>
      <c r="BI743" s="949"/>
      <c r="BJ743" s="949"/>
      <c r="BK743" s="949"/>
      <c r="BL743" s="949"/>
      <c r="BM743" s="946"/>
      <c r="BN743" s="946"/>
      <c r="BO743" s="946"/>
      <c r="BP743" s="946"/>
      <c r="BQ743" s="946"/>
      <c r="BR743" s="946"/>
      <c r="BS743" s="946"/>
      <c r="BT743" s="946"/>
      <c r="BU743" s="946"/>
      <c r="BV743" s="946"/>
      <c r="BW743" s="946"/>
      <c r="BX743" s="946"/>
      <c r="BY743" s="946"/>
      <c r="BZ743" s="946"/>
      <c r="CA743" s="946"/>
      <c r="CB743" s="946"/>
      <c r="CC743" s="946"/>
    </row>
    <row r="744" spans="1:81" s="866" customFormat="1" ht="12.75" hidden="1" customHeight="1">
      <c r="A744" s="1042"/>
      <c r="B744" s="866" t="s">
        <v>1860</v>
      </c>
      <c r="C744" s="867"/>
      <c r="E744" s="867"/>
      <c r="F744" s="867"/>
      <c r="G744" s="867"/>
      <c r="H744" s="867"/>
      <c r="I744" s="867"/>
      <c r="J744" s="867"/>
      <c r="K744" s="867"/>
      <c r="L744" s="867"/>
      <c r="M744" s="867"/>
      <c r="N744" s="867"/>
      <c r="O744" s="867"/>
      <c r="P744" s="867"/>
      <c r="Q744" s="867"/>
      <c r="R744" s="867"/>
      <c r="S744" s="867"/>
      <c r="T744" s="867"/>
      <c r="U744" s="867"/>
      <c r="V744" s="867"/>
      <c r="W744" s="867"/>
      <c r="X744" s="867"/>
      <c r="Y744" s="867"/>
      <c r="Z744" s="867"/>
      <c r="AA744" s="867"/>
      <c r="AB744" s="867"/>
      <c r="AC744" s="867"/>
      <c r="AD744" s="958"/>
      <c r="AE744" s="867"/>
      <c r="AF744" s="867"/>
      <c r="AG744" s="867"/>
      <c r="AH744" s="867"/>
      <c r="AI744" s="949"/>
      <c r="AK744" s="949"/>
      <c r="AL744" s="949"/>
      <c r="AM744" s="949"/>
      <c r="AN744" s="923"/>
      <c r="AO744" s="949"/>
      <c r="AP744" s="1225"/>
      <c r="AQ744" s="1225"/>
      <c r="AR744" s="1225"/>
      <c r="AS744" s="1225"/>
      <c r="AT744" s="1225"/>
      <c r="AU744" s="1225"/>
      <c r="AV744" s="1225"/>
      <c r="AW744" s="1225"/>
      <c r="AX744" s="1225"/>
      <c r="AY744" s="1225"/>
      <c r="AZ744" s="949"/>
      <c r="BA744" s="949"/>
      <c r="BB744" s="949"/>
      <c r="BC744" s="949"/>
      <c r="BD744" s="949"/>
      <c r="BE744" s="949"/>
      <c r="BF744" s="949"/>
      <c r="BG744" s="949"/>
      <c r="BH744" s="949"/>
      <c r="BI744" s="949"/>
      <c r="BJ744" s="949"/>
      <c r="BK744" s="949"/>
      <c r="BL744" s="949"/>
      <c r="BM744" s="946"/>
      <c r="BN744" s="946"/>
      <c r="BO744" s="946"/>
      <c r="BP744" s="946"/>
      <c r="BQ744" s="946"/>
      <c r="BR744" s="946"/>
      <c r="BS744" s="946"/>
      <c r="BT744" s="946"/>
      <c r="BU744" s="946"/>
      <c r="BV744" s="946"/>
      <c r="BW744" s="946"/>
      <c r="BX744" s="946"/>
      <c r="BY744" s="946"/>
      <c r="BZ744" s="946"/>
      <c r="CA744" s="946"/>
      <c r="CB744" s="946"/>
      <c r="CC744" s="946"/>
    </row>
    <row r="745" spans="1:81" s="866" customFormat="1" ht="12.75" hidden="1" customHeight="1">
      <c r="A745" s="1042"/>
      <c r="B745" s="866" t="s">
        <v>1861</v>
      </c>
      <c r="C745" s="867"/>
      <c r="E745" s="867"/>
      <c r="F745" s="867"/>
      <c r="G745" s="867"/>
      <c r="H745" s="867"/>
      <c r="I745" s="867"/>
      <c r="J745" s="867"/>
      <c r="K745" s="867"/>
      <c r="L745" s="867"/>
      <c r="M745" s="867"/>
      <c r="N745" s="867"/>
      <c r="O745" s="867"/>
      <c r="P745" s="867"/>
      <c r="Q745" s="867"/>
      <c r="R745" s="867"/>
      <c r="S745" s="867"/>
      <c r="T745" s="867"/>
      <c r="U745" s="867"/>
      <c r="V745" s="867"/>
      <c r="W745" s="867"/>
      <c r="X745" s="867"/>
      <c r="Y745" s="867"/>
      <c r="Z745" s="867"/>
      <c r="AA745" s="867"/>
      <c r="AB745" s="867"/>
      <c r="AC745" s="867"/>
      <c r="AD745" s="958"/>
      <c r="AE745" s="867"/>
      <c r="AF745" s="867"/>
      <c r="AG745" s="867"/>
      <c r="AH745" s="867"/>
      <c r="AI745" s="949"/>
      <c r="AK745" s="949"/>
      <c r="AL745" s="949"/>
      <c r="AM745" s="949"/>
      <c r="AN745" s="923"/>
      <c r="AO745" s="949"/>
      <c r="AP745" s="1225"/>
      <c r="AQ745" s="1225"/>
      <c r="AR745" s="1225"/>
      <c r="AS745" s="1225"/>
      <c r="AT745" s="1225"/>
      <c r="AU745" s="1225"/>
      <c r="AV745" s="1225"/>
      <c r="AW745" s="1225"/>
      <c r="AX745" s="1225"/>
      <c r="AY745" s="1225"/>
      <c r="AZ745" s="949"/>
      <c r="BA745" s="949"/>
      <c r="BB745" s="949"/>
      <c r="BC745" s="949"/>
      <c r="BD745" s="949"/>
      <c r="BE745" s="949"/>
      <c r="BF745" s="949"/>
      <c r="BG745" s="949"/>
      <c r="BH745" s="949"/>
      <c r="BI745" s="949"/>
      <c r="BJ745" s="949"/>
      <c r="BK745" s="949"/>
      <c r="BL745" s="949"/>
      <c r="BM745" s="946"/>
      <c r="BN745" s="946"/>
      <c r="BO745" s="946"/>
      <c r="BP745" s="946"/>
      <c r="BQ745" s="946"/>
      <c r="BR745" s="946"/>
      <c r="BS745" s="946"/>
      <c r="BT745" s="946"/>
      <c r="BU745" s="946"/>
      <c r="BV745" s="946"/>
      <c r="BW745" s="946"/>
      <c r="BX745" s="946"/>
      <c r="BY745" s="946"/>
      <c r="BZ745" s="946"/>
      <c r="CA745" s="946"/>
      <c r="CB745" s="946"/>
      <c r="CC745" s="946"/>
    </row>
    <row r="746" spans="1:81" s="866" customFormat="1" ht="12.75" hidden="1" customHeight="1">
      <c r="A746" s="1042"/>
      <c r="B746" s="866" t="s">
        <v>1862</v>
      </c>
      <c r="C746" s="867"/>
      <c r="E746" s="867"/>
      <c r="F746" s="867"/>
      <c r="G746" s="867"/>
      <c r="H746" s="867"/>
      <c r="I746" s="867"/>
      <c r="J746" s="867"/>
      <c r="K746" s="867"/>
      <c r="L746" s="867"/>
      <c r="M746" s="867"/>
      <c r="N746" s="867"/>
      <c r="O746" s="867"/>
      <c r="P746" s="867"/>
      <c r="Q746" s="867"/>
      <c r="R746" s="867"/>
      <c r="S746" s="867"/>
      <c r="T746" s="867"/>
      <c r="U746" s="867"/>
      <c r="V746" s="867"/>
      <c r="W746" s="867"/>
      <c r="X746" s="867"/>
      <c r="Y746" s="867"/>
      <c r="Z746" s="867"/>
      <c r="AA746" s="867"/>
      <c r="AB746" s="867"/>
      <c r="AC746" s="867"/>
      <c r="AD746" s="958"/>
      <c r="AE746" s="867"/>
      <c r="AF746" s="867"/>
      <c r="AG746" s="867"/>
      <c r="AH746" s="867"/>
      <c r="AI746" s="949"/>
      <c r="AK746" s="949"/>
      <c r="AL746" s="949"/>
      <c r="AM746" s="949"/>
      <c r="AN746" s="923"/>
      <c r="AO746" s="949"/>
      <c r="AP746" s="1225"/>
      <c r="AQ746" s="1225"/>
      <c r="AR746" s="1225"/>
      <c r="AS746" s="1225"/>
      <c r="AT746" s="1225"/>
      <c r="AU746" s="1225"/>
      <c r="AV746" s="1225"/>
      <c r="AW746" s="1225"/>
      <c r="AX746" s="1225"/>
      <c r="AY746" s="1225"/>
      <c r="AZ746" s="949"/>
      <c r="BA746" s="949"/>
      <c r="BB746" s="949"/>
      <c r="BC746" s="949"/>
      <c r="BD746" s="949"/>
      <c r="BE746" s="949"/>
      <c r="BF746" s="949"/>
      <c r="BG746" s="949"/>
      <c r="BH746" s="949"/>
      <c r="BI746" s="949"/>
      <c r="BJ746" s="949"/>
      <c r="BK746" s="949"/>
      <c r="BL746" s="949"/>
      <c r="BM746" s="946"/>
      <c r="BN746" s="946"/>
      <c r="BO746" s="946"/>
      <c r="BP746" s="946"/>
      <c r="BQ746" s="946"/>
      <c r="BR746" s="946"/>
      <c r="BS746" s="946"/>
      <c r="BT746" s="946"/>
      <c r="BU746" s="946"/>
      <c r="BV746" s="946"/>
      <c r="BW746" s="946"/>
      <c r="BX746" s="946"/>
      <c r="BY746" s="946"/>
      <c r="BZ746" s="946"/>
      <c r="CA746" s="946"/>
      <c r="CB746" s="946"/>
      <c r="CC746" s="946"/>
    </row>
    <row r="747" spans="1:81" s="866" customFormat="1" ht="12.75" hidden="1" customHeight="1">
      <c r="A747" s="1042"/>
      <c r="B747" s="866" t="s">
        <v>1863</v>
      </c>
      <c r="C747" s="867"/>
      <c r="E747" s="867"/>
      <c r="F747" s="867"/>
      <c r="G747" s="867"/>
      <c r="H747" s="867"/>
      <c r="I747" s="867"/>
      <c r="J747" s="867"/>
      <c r="K747" s="867"/>
      <c r="L747" s="867"/>
      <c r="M747" s="867"/>
      <c r="N747" s="867"/>
      <c r="O747" s="867"/>
      <c r="P747" s="867"/>
      <c r="Q747" s="867"/>
      <c r="R747" s="867"/>
      <c r="S747" s="867"/>
      <c r="T747" s="867"/>
      <c r="U747" s="867"/>
      <c r="V747" s="867"/>
      <c r="W747" s="867"/>
      <c r="X747" s="867"/>
      <c r="Y747" s="867"/>
      <c r="Z747" s="867"/>
      <c r="AA747" s="867"/>
      <c r="AB747" s="867"/>
      <c r="AC747" s="867"/>
      <c r="AD747" s="958"/>
      <c r="AE747" s="867"/>
      <c r="AF747" s="867"/>
      <c r="AG747" s="867"/>
      <c r="AH747" s="867"/>
      <c r="AI747" s="949"/>
      <c r="AK747" s="949"/>
      <c r="AL747" s="949"/>
      <c r="AM747" s="949"/>
      <c r="AN747" s="923"/>
      <c r="AO747" s="949"/>
      <c r="AP747" s="1225"/>
      <c r="AQ747" s="1225"/>
      <c r="AR747" s="1225"/>
      <c r="AS747" s="1225"/>
      <c r="AT747" s="1225"/>
      <c r="AU747" s="1225"/>
      <c r="AV747" s="1225"/>
      <c r="AW747" s="1225"/>
      <c r="AX747" s="1225"/>
      <c r="AY747" s="1225"/>
      <c r="AZ747" s="949"/>
      <c r="BA747" s="949"/>
      <c r="BB747" s="949"/>
      <c r="BC747" s="949"/>
      <c r="BD747" s="949"/>
      <c r="BE747" s="949"/>
      <c r="BF747" s="949"/>
      <c r="BG747" s="949"/>
      <c r="BH747" s="949"/>
      <c r="BI747" s="949"/>
      <c r="BJ747" s="949"/>
      <c r="BK747" s="949"/>
      <c r="BL747" s="949"/>
      <c r="BM747" s="946"/>
      <c r="BN747" s="946"/>
      <c r="BO747" s="946"/>
      <c r="BP747" s="946"/>
      <c r="BQ747" s="946"/>
      <c r="BR747" s="946"/>
      <c r="BS747" s="946"/>
      <c r="BT747" s="946"/>
      <c r="BU747" s="946"/>
      <c r="BV747" s="946"/>
      <c r="BW747" s="946"/>
      <c r="BX747" s="946"/>
      <c r="BY747" s="946"/>
      <c r="BZ747" s="946"/>
      <c r="CA747" s="946"/>
      <c r="CB747" s="946"/>
      <c r="CC747" s="946"/>
    </row>
    <row r="748" spans="1:81" s="866" customFormat="1" ht="12.75" hidden="1" customHeight="1">
      <c r="A748" s="1042"/>
      <c r="B748" s="866" t="s">
        <v>1864</v>
      </c>
      <c r="C748" s="867"/>
      <c r="E748" s="867"/>
      <c r="F748" s="867"/>
      <c r="G748" s="867"/>
      <c r="H748" s="867"/>
      <c r="I748" s="867"/>
      <c r="J748" s="867"/>
      <c r="K748" s="867"/>
      <c r="L748" s="867"/>
      <c r="M748" s="867"/>
      <c r="N748" s="867"/>
      <c r="O748" s="867"/>
      <c r="P748" s="867"/>
      <c r="Q748" s="867"/>
      <c r="R748" s="867"/>
      <c r="S748" s="867"/>
      <c r="T748" s="867"/>
      <c r="U748" s="867"/>
      <c r="V748" s="867"/>
      <c r="W748" s="867"/>
      <c r="X748" s="867"/>
      <c r="Y748" s="867"/>
      <c r="Z748" s="867"/>
      <c r="AA748" s="867"/>
      <c r="AB748" s="867"/>
      <c r="AC748" s="867"/>
      <c r="AD748" s="958"/>
      <c r="AE748" s="867"/>
      <c r="AF748" s="867"/>
      <c r="AG748" s="867"/>
      <c r="AH748" s="867"/>
      <c r="AI748" s="949"/>
      <c r="AK748" s="949"/>
      <c r="AL748" s="949"/>
      <c r="AM748" s="949"/>
      <c r="AN748" s="923"/>
      <c r="AO748" s="949"/>
      <c r="AP748" s="949"/>
      <c r="AQ748" s="949"/>
      <c r="AR748" s="949"/>
      <c r="AS748" s="949"/>
      <c r="AT748" s="949"/>
      <c r="AU748" s="949"/>
      <c r="AV748" s="949"/>
      <c r="AW748" s="949"/>
      <c r="AX748" s="949"/>
      <c r="AY748" s="949"/>
      <c r="AZ748" s="949"/>
      <c r="BA748" s="949"/>
      <c r="BB748" s="949"/>
      <c r="BC748" s="949"/>
      <c r="BD748" s="949"/>
      <c r="BE748" s="949"/>
      <c r="BF748" s="949"/>
      <c r="BG748" s="949"/>
      <c r="BH748" s="949"/>
      <c r="BI748" s="949"/>
      <c r="BJ748" s="949"/>
      <c r="BK748" s="949"/>
      <c r="BL748" s="949"/>
      <c r="BM748" s="949"/>
      <c r="BN748" s="949"/>
      <c r="BO748" s="949"/>
      <c r="BP748" s="949"/>
      <c r="BQ748" s="949"/>
      <c r="BR748" s="949"/>
      <c r="BS748" s="949"/>
      <c r="BT748" s="949"/>
      <c r="BU748" s="949"/>
      <c r="BV748" s="949"/>
      <c r="BW748" s="949"/>
      <c r="BX748" s="949"/>
      <c r="BY748" s="949"/>
      <c r="BZ748" s="949"/>
      <c r="CA748" s="949"/>
      <c r="CB748" s="949"/>
      <c r="CC748" s="949"/>
    </row>
    <row r="749" spans="1:81" s="866" customFormat="1" ht="12.75" hidden="1" customHeight="1">
      <c r="A749" s="1226"/>
      <c r="C749" s="867"/>
      <c r="E749" s="867"/>
      <c r="F749" s="867"/>
      <c r="G749" s="867"/>
      <c r="H749" s="867"/>
      <c r="I749" s="867"/>
      <c r="J749" s="867"/>
      <c r="K749" s="867"/>
      <c r="L749" s="867"/>
      <c r="M749" s="867"/>
      <c r="N749" s="867"/>
      <c r="O749" s="867"/>
      <c r="P749" s="867"/>
      <c r="Q749" s="867"/>
      <c r="R749" s="867"/>
      <c r="S749" s="867"/>
      <c r="T749" s="867"/>
      <c r="U749" s="867"/>
      <c r="V749" s="867"/>
      <c r="W749" s="867"/>
      <c r="X749" s="867"/>
      <c r="Y749" s="867"/>
      <c r="Z749" s="867"/>
      <c r="AA749" s="867"/>
      <c r="AB749" s="867"/>
      <c r="AC749" s="867"/>
      <c r="AD749" s="958"/>
      <c r="AE749" s="867"/>
      <c r="AF749" s="867"/>
      <c r="AG749" s="867"/>
      <c r="AH749" s="867"/>
      <c r="AI749" s="949"/>
      <c r="AK749" s="949"/>
      <c r="AL749" s="949"/>
      <c r="AM749" s="949"/>
      <c r="AN749" s="923"/>
      <c r="AO749" s="949"/>
      <c r="AP749" s="949"/>
      <c r="AQ749" s="949"/>
      <c r="AR749" s="949"/>
      <c r="AS749" s="949"/>
      <c r="AT749" s="949"/>
      <c r="AU749" s="949"/>
      <c r="AV749" s="949"/>
      <c r="AW749" s="949"/>
      <c r="AX749" s="949"/>
      <c r="AY749" s="949"/>
      <c r="AZ749" s="949"/>
      <c r="BA749" s="949"/>
      <c r="BB749" s="949"/>
      <c r="BC749" s="949"/>
      <c r="BD749" s="949"/>
      <c r="BE749" s="949"/>
      <c r="BF749" s="949"/>
      <c r="BG749" s="949"/>
      <c r="BH749" s="949"/>
      <c r="BI749" s="949"/>
      <c r="BJ749" s="949"/>
      <c r="BK749" s="949"/>
      <c r="BL749" s="949"/>
      <c r="BM749" s="949"/>
      <c r="BN749" s="949"/>
      <c r="BO749" s="949"/>
      <c r="BP749" s="949"/>
      <c r="BQ749" s="949"/>
      <c r="BR749" s="949"/>
      <c r="BS749" s="949"/>
      <c r="BT749" s="949"/>
      <c r="BU749" s="949"/>
      <c r="BV749" s="949"/>
      <c r="BW749" s="949"/>
      <c r="BX749" s="949"/>
      <c r="BY749" s="949"/>
      <c r="BZ749" s="949"/>
      <c r="CA749" s="949"/>
      <c r="CB749" s="949"/>
      <c r="CC749" s="949"/>
    </row>
    <row r="750" spans="1:81" s="866" customFormat="1" ht="12.75" hidden="1" customHeight="1">
      <c r="A750" s="994"/>
      <c r="B750" s="1030"/>
      <c r="C750" s="1030"/>
      <c r="D750" s="1030"/>
      <c r="E750" s="1030"/>
      <c r="F750" s="1030"/>
      <c r="G750" s="1030"/>
      <c r="H750" s="1030"/>
      <c r="I750" s="1030"/>
      <c r="J750" s="1030"/>
      <c r="K750" s="1030"/>
      <c r="L750" s="1030"/>
      <c r="M750" s="1030"/>
      <c r="N750" s="1030"/>
      <c r="O750" s="1030"/>
      <c r="P750" s="1030"/>
      <c r="Q750" s="1030"/>
      <c r="R750" s="1030"/>
      <c r="S750" s="1030"/>
      <c r="T750" s="1030"/>
      <c r="U750" s="1030"/>
      <c r="V750" s="1030"/>
      <c r="W750" s="1030"/>
      <c r="X750" s="1030"/>
      <c r="Y750" s="1030"/>
      <c r="Z750" s="1030"/>
      <c r="AA750" s="1030"/>
      <c r="AB750" s="1030"/>
      <c r="AC750" s="1031"/>
      <c r="AD750" s="1030"/>
      <c r="AE750" s="1030"/>
      <c r="AF750" s="1030"/>
      <c r="AG750" s="1030"/>
      <c r="AH750" s="941"/>
      <c r="AI750" s="882"/>
      <c r="AJ750" s="882" t="s">
        <v>1865</v>
      </c>
      <c r="AK750" s="2980">
        <f>SUM(AG694:AG739)</f>
        <v>0</v>
      </c>
      <c r="AL750" s="2981"/>
      <c r="AM750" s="2982"/>
      <c r="AN750" s="923"/>
      <c r="AO750" s="949"/>
      <c r="AP750" s="929"/>
      <c r="AQ750" s="929"/>
      <c r="AR750" s="929"/>
      <c r="AS750" s="929"/>
      <c r="AT750" s="929"/>
      <c r="AU750" s="929"/>
      <c r="AV750" s="929"/>
      <c r="AW750" s="929"/>
      <c r="AX750" s="929"/>
      <c r="AY750" s="929"/>
      <c r="AZ750" s="929"/>
      <c r="BA750" s="949"/>
      <c r="BB750" s="949"/>
      <c r="BC750" s="949"/>
      <c r="BD750" s="949"/>
      <c r="BE750" s="949"/>
      <c r="BF750" s="949"/>
      <c r="BG750" s="949"/>
      <c r="BH750" s="949"/>
      <c r="BI750" s="949"/>
      <c r="BJ750" s="949"/>
      <c r="BK750" s="949"/>
      <c r="BL750" s="949"/>
      <c r="BM750" s="949"/>
      <c r="BN750" s="949"/>
      <c r="BO750" s="949"/>
      <c r="BP750" s="949"/>
      <c r="BQ750" s="949"/>
      <c r="BR750" s="949"/>
      <c r="BS750" s="949"/>
      <c r="BT750" s="949"/>
      <c r="BU750" s="949"/>
      <c r="BV750" s="949"/>
      <c r="BW750" s="949"/>
      <c r="BX750" s="949"/>
      <c r="BY750" s="949"/>
      <c r="BZ750" s="949"/>
      <c r="CA750" s="949"/>
      <c r="CB750" s="949"/>
      <c r="CC750" s="949"/>
    </row>
    <row r="751" spans="1:81" s="866" customFormat="1" ht="12.75" hidden="1" customHeight="1" thickBot="1">
      <c r="A751" s="983"/>
      <c r="B751" s="867"/>
      <c r="C751" s="867"/>
      <c r="D751" s="867"/>
      <c r="E751" s="867"/>
      <c r="F751" s="867"/>
      <c r="G751" s="867"/>
      <c r="H751" s="867"/>
      <c r="I751" s="867"/>
      <c r="J751" s="867"/>
      <c r="K751" s="867"/>
      <c r="L751" s="867"/>
      <c r="M751" s="867"/>
      <c r="N751" s="867"/>
      <c r="O751" s="867"/>
      <c r="P751" s="867"/>
      <c r="Q751" s="867"/>
      <c r="R751" s="867"/>
      <c r="S751" s="867"/>
      <c r="T751" s="867"/>
      <c r="U751" s="867"/>
      <c r="V751" s="867"/>
      <c r="W751" s="867"/>
      <c r="X751" s="867"/>
      <c r="Y751" s="867"/>
      <c r="Z751" s="867"/>
      <c r="AA751" s="867"/>
      <c r="AB751" s="867"/>
      <c r="AC751" s="958"/>
      <c r="AD751" s="867"/>
      <c r="AE751" s="867"/>
      <c r="AF751" s="867"/>
      <c r="AG751" s="867"/>
      <c r="AH751" s="949"/>
      <c r="AI751" s="1651"/>
      <c r="AJ751" s="1651"/>
      <c r="AK751" s="928"/>
      <c r="AL751" s="928"/>
      <c r="AM751" s="928"/>
      <c r="AN751" s="923"/>
      <c r="AO751" s="949"/>
      <c r="AP751" s="929"/>
      <c r="AQ751" s="929"/>
      <c r="AR751" s="929"/>
      <c r="AS751" s="929"/>
      <c r="AT751" s="929"/>
      <c r="AU751" s="929"/>
      <c r="AV751" s="929"/>
      <c r="AW751" s="929"/>
      <c r="AX751" s="929"/>
      <c r="AY751" s="929"/>
      <c r="AZ751" s="929"/>
      <c r="BA751" s="949"/>
      <c r="BB751" s="949"/>
      <c r="BC751" s="949"/>
      <c r="BD751" s="949"/>
      <c r="BE751" s="949"/>
      <c r="BF751" s="949"/>
      <c r="BG751" s="949"/>
      <c r="BH751" s="949"/>
      <c r="BI751" s="949"/>
      <c r="BJ751" s="949"/>
      <c r="BK751" s="949"/>
      <c r="BL751" s="949"/>
      <c r="BM751" s="949"/>
      <c r="BN751" s="949"/>
      <c r="BO751" s="949"/>
      <c r="BP751" s="949"/>
      <c r="BQ751" s="949"/>
      <c r="BR751" s="949"/>
      <c r="BS751" s="949"/>
      <c r="BT751" s="949"/>
      <c r="BU751" s="949"/>
      <c r="BV751" s="949"/>
      <c r="BW751" s="949"/>
      <c r="BX751" s="949"/>
      <c r="BY751" s="949"/>
      <c r="BZ751" s="949"/>
      <c r="CA751" s="949"/>
      <c r="CB751" s="949"/>
      <c r="CC751" s="949"/>
    </row>
    <row r="752" spans="1:81" ht="13.5" thickTop="1"/>
    <row r="753" spans="1:49" s="866" customFormat="1" ht="12.75" customHeight="1">
      <c r="A753" s="935" t="s">
        <v>1866</v>
      </c>
      <c r="B753" s="935" t="s">
        <v>1867</v>
      </c>
      <c r="C753" s="867"/>
      <c r="D753" s="867"/>
      <c r="E753" s="867"/>
      <c r="F753" s="867"/>
      <c r="G753" s="867"/>
      <c r="H753" s="867"/>
      <c r="I753" s="867"/>
      <c r="J753" s="867"/>
      <c r="K753" s="867"/>
      <c r="L753" s="867"/>
      <c r="M753" s="867"/>
      <c r="N753" s="867"/>
      <c r="O753" s="867"/>
      <c r="P753" s="867"/>
      <c r="Q753" s="867"/>
      <c r="R753" s="867"/>
      <c r="S753" s="867"/>
      <c r="T753" s="867"/>
      <c r="U753" s="867"/>
      <c r="V753" s="867"/>
      <c r="W753" s="867"/>
      <c r="X753" s="867"/>
      <c r="Y753" s="867"/>
      <c r="Z753" s="867"/>
      <c r="AA753" s="867"/>
      <c r="AB753" s="867"/>
      <c r="AC753" s="958"/>
      <c r="AD753" s="867"/>
      <c r="AE753" s="2964" t="s">
        <v>1868</v>
      </c>
      <c r="AF753" s="2964"/>
      <c r="AG753" s="2964"/>
      <c r="AH753" s="2964"/>
      <c r="AI753" s="2964"/>
      <c r="AJ753" s="2964"/>
      <c r="AK753" s="2964"/>
      <c r="AL753" s="928"/>
      <c r="AM753" s="928"/>
      <c r="AN753" s="923"/>
    </row>
    <row r="754" spans="1:49" s="866" customFormat="1" ht="12.75" customHeight="1">
      <c r="A754" s="935"/>
      <c r="B754" s="935" t="s">
        <v>1610</v>
      </c>
      <c r="C754" s="867"/>
      <c r="D754" s="867"/>
      <c r="E754" s="867"/>
      <c r="F754" s="867"/>
      <c r="G754" s="867"/>
      <c r="H754" s="867"/>
      <c r="I754" s="867"/>
      <c r="J754" s="867"/>
      <c r="K754" s="867"/>
      <c r="L754" s="867"/>
      <c r="M754" s="867"/>
      <c r="N754" s="867"/>
      <c r="O754" s="867"/>
      <c r="P754" s="867"/>
      <c r="Q754" s="867"/>
      <c r="R754" s="867"/>
      <c r="S754" s="867"/>
      <c r="T754" s="867"/>
      <c r="U754" s="867"/>
      <c r="V754" s="867"/>
      <c r="W754" s="867"/>
      <c r="X754" s="867"/>
      <c r="Y754" s="867"/>
      <c r="Z754" s="867"/>
      <c r="AA754" s="867"/>
      <c r="AB754" s="867"/>
      <c r="AC754" s="958"/>
      <c r="AD754" s="867"/>
      <c r="AE754" s="1651"/>
      <c r="AF754" s="1651"/>
      <c r="AG754" s="1651"/>
      <c r="AH754" s="1651"/>
      <c r="AI754" s="1651"/>
      <c r="AJ754" s="1651"/>
      <c r="AK754" s="1651"/>
      <c r="AL754" s="928"/>
      <c r="AM754" s="928"/>
      <c r="AN754" s="923"/>
    </row>
    <row r="755" spans="1:49" s="866" customFormat="1" ht="12.75" customHeight="1">
      <c r="A755" s="935"/>
      <c r="B755" s="935"/>
      <c r="C755" s="867"/>
      <c r="D755" s="867"/>
      <c r="E755" s="867"/>
      <c r="F755" s="867"/>
      <c r="G755" s="867"/>
      <c r="H755" s="867"/>
      <c r="I755" s="867"/>
      <c r="J755" s="867"/>
      <c r="K755" s="867"/>
      <c r="L755" s="867"/>
      <c r="M755" s="867"/>
      <c r="N755" s="867"/>
      <c r="O755" s="867"/>
      <c r="P755" s="867"/>
      <c r="Q755" s="867"/>
      <c r="R755" s="867"/>
      <c r="S755" s="867"/>
      <c r="T755" s="867"/>
      <c r="U755" s="867"/>
      <c r="V755" s="867"/>
      <c r="W755" s="867"/>
      <c r="X755" s="867"/>
      <c r="Y755" s="867"/>
      <c r="Z755" s="867"/>
      <c r="AA755" s="867"/>
      <c r="AB755" s="867"/>
      <c r="AC755" s="958"/>
      <c r="AD755" s="867"/>
      <c r="AE755" s="960"/>
      <c r="AF755" s="960"/>
      <c r="AG755" s="960"/>
      <c r="AH755" s="960"/>
      <c r="AI755" s="960"/>
      <c r="AJ755" s="960"/>
      <c r="AK755" s="960"/>
      <c r="AL755" s="928"/>
      <c r="AM755" s="928"/>
      <c r="AN755" s="923"/>
    </row>
    <row r="756" spans="1:49" s="866" customFormat="1" ht="12.75" customHeight="1">
      <c r="A756" s="935"/>
      <c r="B756" s="935"/>
      <c r="C756" s="2972" t="s">
        <v>580</v>
      </c>
      <c r="D756" s="2972"/>
      <c r="E756" s="867"/>
      <c r="F756" s="3075" t="s">
        <v>1869</v>
      </c>
      <c r="G756" s="3076"/>
      <c r="H756" s="3076"/>
      <c r="I756" s="3076"/>
      <c r="J756" s="3076"/>
      <c r="K756" s="3076"/>
      <c r="L756" s="3076"/>
      <c r="M756" s="3076"/>
      <c r="N756" s="3076"/>
      <c r="O756" s="3076"/>
      <c r="P756" s="3076"/>
      <c r="Q756" s="3076"/>
      <c r="R756" s="3076"/>
      <c r="S756" s="3076"/>
      <c r="T756" s="3076"/>
      <c r="U756" s="3076"/>
      <c r="V756" s="3076"/>
      <c r="W756" s="3076"/>
      <c r="X756" s="3076"/>
      <c r="Y756" s="3076"/>
      <c r="Z756" s="3076"/>
      <c r="AA756" s="3076"/>
      <c r="AB756" s="3076"/>
      <c r="AC756" s="3076"/>
      <c r="AD756" s="3076"/>
      <c r="AE756" s="3076"/>
      <c r="AF756" s="3076"/>
      <c r="AG756" s="3076"/>
      <c r="AH756" s="3076"/>
      <c r="AI756" s="3076"/>
      <c r="AJ756" s="3076"/>
      <c r="AK756" s="3076"/>
      <c r="AL756" s="3077"/>
      <c r="AM756" s="928"/>
      <c r="AN756" s="923"/>
    </row>
    <row r="757" spans="1:49" s="866" customFormat="1" ht="12.75" customHeight="1">
      <c r="A757" s="935"/>
      <c r="B757" s="935"/>
      <c r="C757" s="867"/>
      <c r="D757" s="867"/>
      <c r="E757" s="867"/>
      <c r="F757" s="3078"/>
      <c r="G757" s="3079"/>
      <c r="H757" s="3079"/>
      <c r="I757" s="3079"/>
      <c r="J757" s="3079"/>
      <c r="K757" s="3079"/>
      <c r="L757" s="3079"/>
      <c r="M757" s="3079"/>
      <c r="N757" s="3079"/>
      <c r="O757" s="3079"/>
      <c r="P757" s="3079"/>
      <c r="Q757" s="3079"/>
      <c r="R757" s="3079"/>
      <c r="S757" s="3079"/>
      <c r="T757" s="3079"/>
      <c r="U757" s="3079"/>
      <c r="V757" s="3079"/>
      <c r="W757" s="3079"/>
      <c r="X757" s="3079"/>
      <c r="Y757" s="3079"/>
      <c r="Z757" s="3079"/>
      <c r="AA757" s="3079"/>
      <c r="AB757" s="3079"/>
      <c r="AC757" s="3079"/>
      <c r="AD757" s="3079"/>
      <c r="AE757" s="3079"/>
      <c r="AF757" s="3079"/>
      <c r="AG757" s="3079"/>
      <c r="AH757" s="3079"/>
      <c r="AI757" s="3079"/>
      <c r="AJ757" s="3079"/>
      <c r="AK757" s="3079"/>
      <c r="AL757" s="3080"/>
      <c r="AM757" s="928"/>
      <c r="AN757" s="923"/>
    </row>
    <row r="758" spans="1:49" s="866" customFormat="1" ht="12.75" customHeight="1">
      <c r="A758" s="935"/>
      <c r="B758" s="935"/>
      <c r="C758" s="867"/>
      <c r="D758" s="867"/>
      <c r="E758" s="867"/>
      <c r="F758" s="1227"/>
      <c r="G758" s="1227"/>
      <c r="H758" s="1227"/>
      <c r="I758" s="1227"/>
      <c r="J758" s="1227"/>
      <c r="K758" s="1227"/>
      <c r="L758" s="1227"/>
      <c r="M758" s="1227"/>
      <c r="N758" s="1227"/>
      <c r="O758" s="1227"/>
      <c r="P758" s="1227"/>
      <c r="Q758" s="1227"/>
      <c r="R758" s="1227"/>
      <c r="S758" s="1227"/>
      <c r="T758" s="1227"/>
      <c r="U758" s="1227"/>
      <c r="V758" s="1227"/>
      <c r="W758" s="1227"/>
      <c r="X758" s="1227"/>
      <c r="Y758" s="1227"/>
      <c r="Z758" s="1227"/>
      <c r="AA758" s="1227"/>
      <c r="AB758" s="1227"/>
      <c r="AC758" s="1227"/>
      <c r="AD758" s="1227"/>
      <c r="AE758" s="1227"/>
      <c r="AF758" s="1227"/>
      <c r="AG758" s="1227"/>
      <c r="AH758" s="1227"/>
      <c r="AI758" s="1227"/>
      <c r="AJ758" s="1227"/>
      <c r="AK758" s="1227"/>
      <c r="AL758" s="1227"/>
      <c r="AM758" s="928"/>
      <c r="AN758" s="923"/>
    </row>
    <row r="759" spans="1:49" s="866" customFormat="1" ht="12.75" customHeight="1">
      <c r="A759" s="935"/>
      <c r="B759" s="1228"/>
      <c r="C759" s="2972" t="s">
        <v>628</v>
      </c>
      <c r="D759" s="2972"/>
      <c r="E759" s="1228"/>
      <c r="F759" s="1229" t="s">
        <v>1870</v>
      </c>
      <c r="G759" s="1230"/>
      <c r="H759" s="1231"/>
      <c r="I759" s="1231"/>
      <c r="J759" s="1231"/>
      <c r="K759" s="1231"/>
      <c r="L759" s="1231"/>
      <c r="M759" s="1231"/>
      <c r="N759" s="1231"/>
      <c r="O759" s="1231"/>
      <c r="P759" s="1231"/>
      <c r="Q759" s="1231"/>
      <c r="R759" s="1231"/>
      <c r="S759" s="1231"/>
      <c r="T759" s="1231"/>
      <c r="U759" s="1231"/>
      <c r="V759" s="1231"/>
      <c r="W759" s="1231"/>
      <c r="X759" s="1231"/>
      <c r="Y759" s="1231"/>
      <c r="Z759" s="1231"/>
      <c r="AA759" s="1231"/>
      <c r="AB759" s="1231"/>
      <c r="AC759" s="1231"/>
      <c r="AD759" s="1231"/>
      <c r="AE759" s="1231"/>
      <c r="AF759" s="1231"/>
      <c r="AG759" s="1231"/>
      <c r="AH759" s="1231"/>
      <c r="AI759" s="1231"/>
      <c r="AJ759" s="1231"/>
      <c r="AK759" s="1232"/>
      <c r="AL759" s="1233"/>
      <c r="AM759" s="928"/>
      <c r="AN759" s="923"/>
    </row>
    <row r="760" spans="1:49" s="866" customFormat="1" ht="12.75" customHeight="1">
      <c r="A760" s="949"/>
      <c r="B760" s="1228"/>
      <c r="C760" s="1228"/>
      <c r="D760" s="1228"/>
      <c r="E760" s="1228"/>
      <c r="F760" s="3064" t="s">
        <v>1871</v>
      </c>
      <c r="G760" s="3065"/>
      <c r="H760" s="3065"/>
      <c r="I760" s="3065"/>
      <c r="J760" s="3065"/>
      <c r="K760" s="3065"/>
      <c r="L760" s="3065"/>
      <c r="M760" s="3065"/>
      <c r="N760" s="3065"/>
      <c r="O760" s="3065"/>
      <c r="P760" s="3065"/>
      <c r="Q760" s="3065"/>
      <c r="R760" s="3065"/>
      <c r="S760" s="3065"/>
      <c r="T760" s="3065"/>
      <c r="U760" s="3065"/>
      <c r="V760" s="3065"/>
      <c r="W760" s="3065"/>
      <c r="X760" s="3065"/>
      <c r="Y760" s="3065"/>
      <c r="Z760" s="3065"/>
      <c r="AA760" s="3065"/>
      <c r="AB760" s="3065"/>
      <c r="AC760" s="3065"/>
      <c r="AD760" s="3065"/>
      <c r="AE760" s="3065"/>
      <c r="AF760" s="3065"/>
      <c r="AG760" s="3065"/>
      <c r="AH760" s="3065"/>
      <c r="AI760" s="3065"/>
      <c r="AJ760" s="3065"/>
      <c r="AK760" s="3065"/>
      <c r="AL760" s="3066"/>
      <c r="AM760" s="928"/>
      <c r="AN760" s="923"/>
      <c r="AS760" s="1404"/>
      <c r="AT760" s="1404"/>
      <c r="AU760" s="1404"/>
      <c r="AV760" s="1404"/>
      <c r="AW760" s="1404"/>
    </row>
    <row r="761" spans="1:49" s="866" customFormat="1" ht="12.75" customHeight="1">
      <c r="A761" s="949"/>
      <c r="B761" s="1228"/>
      <c r="C761" s="1228"/>
      <c r="D761" s="1228"/>
      <c r="E761" s="1228"/>
      <c r="F761" s="3064"/>
      <c r="G761" s="3065"/>
      <c r="H761" s="3065"/>
      <c r="I761" s="3065"/>
      <c r="J761" s="3065"/>
      <c r="K761" s="3065"/>
      <c r="L761" s="3065"/>
      <c r="M761" s="3065"/>
      <c r="N761" s="3065"/>
      <c r="O761" s="3065"/>
      <c r="P761" s="3065"/>
      <c r="Q761" s="3065"/>
      <c r="R761" s="3065"/>
      <c r="S761" s="3065"/>
      <c r="T761" s="3065"/>
      <c r="U761" s="3065"/>
      <c r="V761" s="3065"/>
      <c r="W761" s="3065"/>
      <c r="X761" s="3065"/>
      <c r="Y761" s="3065"/>
      <c r="Z761" s="3065"/>
      <c r="AA761" s="3065"/>
      <c r="AB761" s="3065"/>
      <c r="AC761" s="3065"/>
      <c r="AD761" s="3065"/>
      <c r="AE761" s="3065"/>
      <c r="AF761" s="3065"/>
      <c r="AG761" s="3065"/>
      <c r="AH761" s="3065"/>
      <c r="AI761" s="3065"/>
      <c r="AJ761" s="3065"/>
      <c r="AK761" s="3065"/>
      <c r="AL761" s="3066"/>
      <c r="AM761" s="928"/>
      <c r="AN761" s="923"/>
    </row>
    <row r="762" spans="1:49" s="866" customFormat="1" ht="12.75" customHeight="1">
      <c r="A762" s="949"/>
      <c r="B762" s="1228"/>
      <c r="C762" s="1228"/>
      <c r="D762" s="1228"/>
      <c r="E762" s="1228"/>
      <c r="F762" s="1234" t="s">
        <v>1872</v>
      </c>
      <c r="G762" s="1235"/>
      <c r="H762" s="1235"/>
      <c r="I762" s="1235"/>
      <c r="J762" s="1235"/>
      <c r="K762" s="1235"/>
      <c r="L762" s="1235"/>
      <c r="M762" s="1235"/>
      <c r="N762" s="1235"/>
      <c r="O762" s="1235"/>
      <c r="P762" s="1235"/>
      <c r="Q762" s="1235"/>
      <c r="R762" s="1235"/>
      <c r="S762" s="1235"/>
      <c r="T762" s="1235"/>
      <c r="U762" s="1235"/>
      <c r="V762" s="1235"/>
      <c r="W762" s="1235"/>
      <c r="X762" s="1235"/>
      <c r="Y762" s="1235"/>
      <c r="Z762" s="1235"/>
      <c r="AA762" s="1235"/>
      <c r="AB762" s="1235"/>
      <c r="AC762" s="1235"/>
      <c r="AD762" s="1235"/>
      <c r="AE762" s="1235"/>
      <c r="AF762" s="1235"/>
      <c r="AG762" s="1235"/>
      <c r="AH762" s="1235"/>
      <c r="AI762" s="1235"/>
      <c r="AJ762" s="1235"/>
      <c r="AK762" s="1235"/>
      <c r="AL762" s="1236"/>
      <c r="AM762" s="928"/>
      <c r="AN762" s="923"/>
      <c r="AT762" s="1012"/>
      <c r="AU762" s="1012"/>
      <c r="AV762" s="1012"/>
    </row>
    <row r="763" spans="1:49" s="866" customFormat="1" ht="12.75" customHeight="1">
      <c r="A763" s="949"/>
      <c r="B763" s="1228"/>
      <c r="C763" s="1228"/>
      <c r="D763" s="1228"/>
      <c r="E763" s="1228"/>
      <c r="F763" s="3064" t="s">
        <v>1873</v>
      </c>
      <c r="G763" s="3065"/>
      <c r="H763" s="3065"/>
      <c r="I763" s="3065"/>
      <c r="J763" s="3065"/>
      <c r="K763" s="3065"/>
      <c r="L763" s="3065"/>
      <c r="M763" s="3065"/>
      <c r="N763" s="3065"/>
      <c r="O763" s="3065"/>
      <c r="P763" s="3065"/>
      <c r="Q763" s="3065"/>
      <c r="R763" s="3065"/>
      <c r="S763" s="3065"/>
      <c r="T763" s="3065"/>
      <c r="U763" s="3065"/>
      <c r="V763" s="3065"/>
      <c r="W763" s="3065"/>
      <c r="X763" s="3065"/>
      <c r="Y763" s="3065"/>
      <c r="Z763" s="3065"/>
      <c r="AA763" s="3065"/>
      <c r="AB763" s="3065"/>
      <c r="AC763" s="3065"/>
      <c r="AD763" s="3065"/>
      <c r="AE763" s="3065"/>
      <c r="AF763" s="3065"/>
      <c r="AG763" s="3065"/>
      <c r="AH763" s="3065"/>
      <c r="AI763" s="3065"/>
      <c r="AJ763" s="3065"/>
      <c r="AK763" s="3065"/>
      <c r="AL763" s="1237"/>
      <c r="AM763" s="928"/>
      <c r="AN763" s="923"/>
      <c r="AT763" s="1012"/>
      <c r="AU763" s="1012"/>
      <c r="AV763" s="1012"/>
    </row>
    <row r="764" spans="1:49" s="866" customFormat="1" ht="12.75" customHeight="1">
      <c r="A764" s="949"/>
      <c r="B764" s="1228"/>
      <c r="C764" s="1228"/>
      <c r="D764" s="1228"/>
      <c r="E764" s="1228"/>
      <c r="F764" s="3067"/>
      <c r="G764" s="3068"/>
      <c r="H764" s="3068"/>
      <c r="I764" s="3068"/>
      <c r="J764" s="3068"/>
      <c r="K764" s="3068"/>
      <c r="L764" s="3068"/>
      <c r="M764" s="3068"/>
      <c r="N764" s="3068"/>
      <c r="O764" s="3068"/>
      <c r="P764" s="3068"/>
      <c r="Q764" s="3068"/>
      <c r="R764" s="3068"/>
      <c r="S764" s="3068"/>
      <c r="T764" s="3068"/>
      <c r="U764" s="3068"/>
      <c r="V764" s="3068"/>
      <c r="W764" s="3068"/>
      <c r="X764" s="3068"/>
      <c r="Y764" s="3068"/>
      <c r="Z764" s="3068"/>
      <c r="AA764" s="3068"/>
      <c r="AB764" s="3068"/>
      <c r="AC764" s="3068"/>
      <c r="AD764" s="3068"/>
      <c r="AE764" s="3068"/>
      <c r="AF764" s="3068"/>
      <c r="AG764" s="3068"/>
      <c r="AH764" s="3068"/>
      <c r="AI764" s="3068"/>
      <c r="AJ764" s="3068"/>
      <c r="AK764" s="3068"/>
      <c r="AL764" s="1238"/>
      <c r="AM764" s="928"/>
      <c r="AN764" s="923"/>
      <c r="AT764" s="1012"/>
      <c r="AU764" s="1012"/>
      <c r="AV764" s="1012"/>
    </row>
    <row r="765" spans="1:49" s="866" customFormat="1" ht="12.75" customHeight="1">
      <c r="A765" s="949"/>
      <c r="B765" s="1228"/>
      <c r="C765" s="1228"/>
      <c r="D765" s="1228"/>
      <c r="E765" s="1228"/>
      <c r="F765" s="1239"/>
      <c r="G765" s="1239"/>
      <c r="H765" s="1239"/>
      <c r="I765" s="1239"/>
      <c r="J765" s="1239"/>
      <c r="K765" s="1239"/>
      <c r="L765" s="1239"/>
      <c r="M765" s="1239"/>
      <c r="N765" s="1239"/>
      <c r="O765" s="1239"/>
      <c r="P765" s="1239"/>
      <c r="Q765" s="1239"/>
      <c r="R765" s="1239"/>
      <c r="S765" s="1239"/>
      <c r="T765" s="1239"/>
      <c r="U765" s="1239"/>
      <c r="V765" s="1239"/>
      <c r="W765" s="1239"/>
      <c r="X765" s="1239"/>
      <c r="Y765" s="1239"/>
      <c r="Z765" s="1239"/>
      <c r="AA765" s="1239"/>
      <c r="AB765" s="1239"/>
      <c r="AC765" s="1239"/>
      <c r="AD765" s="1239"/>
      <c r="AE765" s="1239"/>
      <c r="AF765" s="1239"/>
      <c r="AG765" s="1239"/>
      <c r="AH765" s="1239"/>
      <c r="AI765" s="1239"/>
      <c r="AJ765" s="1239"/>
      <c r="AK765" s="1239"/>
      <c r="AL765" s="928"/>
      <c r="AM765" s="928"/>
      <c r="AN765" s="923"/>
      <c r="AP765" s="3136">
        <f>Application!AJ975</f>
        <v>31374184</v>
      </c>
      <c r="AQ765" s="3136"/>
      <c r="AR765" s="3136"/>
    </row>
    <row r="766" spans="1:49" s="866" customFormat="1" ht="12.75" customHeight="1">
      <c r="A766" s="1240"/>
      <c r="B766" s="847" t="s">
        <v>1874</v>
      </c>
      <c r="C766" s="969"/>
      <c r="D766" s="970"/>
      <c r="E766" s="970"/>
      <c r="F766" s="51"/>
      <c r="G766" s="971"/>
      <c r="H766" s="971"/>
      <c r="I766" s="971"/>
      <c r="J766" s="971"/>
      <c r="K766" s="971"/>
      <c r="L766" s="971"/>
      <c r="M766" s="971"/>
      <c r="N766" s="971"/>
      <c r="O766" s="971"/>
      <c r="P766" s="971"/>
      <c r="Q766" s="971"/>
      <c r="R766" s="51"/>
      <c r="S766" s="51"/>
      <c r="T766" s="51"/>
      <c r="U766" s="51"/>
      <c r="V766" s="51"/>
      <c r="W766" s="51"/>
      <c r="X766" s="971"/>
      <c r="Y766" s="971"/>
      <c r="Z766" s="971"/>
      <c r="AA766" s="968"/>
      <c r="AB766" s="968"/>
      <c r="AC766" s="968"/>
      <c r="AD766" s="968"/>
      <c r="AE766" s="51"/>
      <c r="AF766" s="2983">
        <f ca="1">'Sources and Uses Budget'!S107+'Sources and Uses Budget'!T107</f>
        <v>39990622.096823953</v>
      </c>
      <c r="AG766" s="2983"/>
      <c r="AH766" s="2983"/>
      <c r="AI766" s="2983"/>
      <c r="AJ766" s="2983"/>
      <c r="AK766" s="928"/>
      <c r="AL766" s="928"/>
      <c r="AM766" s="928"/>
      <c r="AN766" s="923"/>
    </row>
    <row r="767" spans="1:49" s="866" customFormat="1" ht="12.75" customHeight="1">
      <c r="A767" s="972"/>
      <c r="B767" s="972" t="s">
        <v>1875</v>
      </c>
      <c r="C767" s="971"/>
      <c r="D767" s="971"/>
      <c r="E767" s="973"/>
      <c r="F767" s="973"/>
      <c r="G767" s="973"/>
      <c r="H767" s="973"/>
      <c r="I767" s="973"/>
      <c r="J767" s="973"/>
      <c r="K767" s="973"/>
      <c r="L767" s="971"/>
      <c r="M767" s="973"/>
      <c r="N767" s="973"/>
      <c r="O767" s="973"/>
      <c r="P767" s="973"/>
      <c r="Q767" s="973"/>
      <c r="R767" s="51"/>
      <c r="S767" s="51"/>
      <c r="T767" s="51"/>
      <c r="U767" s="51"/>
      <c r="V767" s="51"/>
      <c r="W767" s="51"/>
      <c r="X767" s="971"/>
      <c r="Y767" s="971"/>
      <c r="Z767" s="971"/>
      <c r="AA767" s="968"/>
      <c r="AB767" s="968"/>
      <c r="AC767" s="968"/>
      <c r="AD767" s="968"/>
      <c r="AE767" s="51"/>
      <c r="AF767" s="3069">
        <f>AP774</f>
        <v>57164521.039999999</v>
      </c>
      <c r="AG767" s="3069"/>
      <c r="AH767" s="3069"/>
      <c r="AI767" s="3069"/>
      <c r="AJ767" s="3069"/>
      <c r="AK767" s="928"/>
      <c r="AL767" s="928"/>
      <c r="AM767" s="928"/>
      <c r="AN767" s="923"/>
      <c r="AP767" s="3136">
        <f>Application!AJ1024</f>
        <v>11294706.24</v>
      </c>
      <c r="AQ767" s="3136"/>
      <c r="AR767" s="3136"/>
    </row>
    <row r="768" spans="1:49" s="866" customFormat="1" ht="12.75" customHeight="1">
      <c r="A768" s="971"/>
      <c r="B768" s="971" t="s">
        <v>13</v>
      </c>
      <c r="C768" s="971"/>
      <c r="D768" s="971"/>
      <c r="E768" s="971"/>
      <c r="F768" s="971"/>
      <c r="G768" s="971"/>
      <c r="H768" s="971"/>
      <c r="I768" s="971"/>
      <c r="J768" s="971"/>
      <c r="K768" s="971"/>
      <c r="L768" s="971"/>
      <c r="M768" s="971"/>
      <c r="N768" s="971"/>
      <c r="O768" s="971"/>
      <c r="P768" s="971"/>
      <c r="Q768" s="971"/>
      <c r="R768" s="51"/>
      <c r="S768" s="51"/>
      <c r="T768" s="51"/>
      <c r="U768" s="51"/>
      <c r="V768" s="51"/>
      <c r="W768" s="51"/>
      <c r="X768" s="971"/>
      <c r="Y768" s="971"/>
      <c r="Z768" s="971"/>
      <c r="AA768" s="968"/>
      <c r="AB768" s="968"/>
      <c r="AC768" s="968"/>
      <c r="AD768" s="968"/>
      <c r="AE768" s="51"/>
      <c r="AF768" s="3070">
        <f ca="1">ROUNDDOWN(IF(C759="YES",((1-(AF766/AF767))*2),(1-(AF766/AF767))),2)</f>
        <v>0.3</v>
      </c>
      <c r="AG768" s="3070"/>
      <c r="AH768" s="3070"/>
      <c r="AI768" s="3070"/>
      <c r="AJ768" s="3070"/>
      <c r="AK768" s="928"/>
      <c r="AL768" s="928"/>
      <c r="AM768" s="928"/>
      <c r="AN768" s="923"/>
      <c r="AP768" s="3151">
        <f>Application!AJ1028</f>
        <v>6274836.8000000007</v>
      </c>
      <c r="AQ768" s="3151"/>
      <c r="AR768" s="3151"/>
    </row>
    <row r="769" spans="1:44" s="866" customFormat="1" ht="12.75" customHeight="1">
      <c r="A769" s="971"/>
      <c r="B769" s="971"/>
      <c r="C769" s="971"/>
      <c r="D769" s="971"/>
      <c r="E769" s="971"/>
      <c r="F769" s="971"/>
      <c r="G769" s="971"/>
      <c r="H769" s="971"/>
      <c r="I769" s="971"/>
      <c r="J769" s="971"/>
      <c r="K769" s="971"/>
      <c r="L769" s="971"/>
      <c r="M769" s="971"/>
      <c r="N769" s="971"/>
      <c r="O769" s="971"/>
      <c r="P769" s="971"/>
      <c r="Q769" s="971"/>
      <c r="R769" s="51"/>
      <c r="S769" s="51"/>
      <c r="T769" s="51"/>
      <c r="U769" s="51"/>
      <c r="V769" s="51"/>
      <c r="W769" s="51"/>
      <c r="X769" s="971"/>
      <c r="Y769" s="971"/>
      <c r="Z769" s="971"/>
      <c r="AA769" s="968"/>
      <c r="AB769" s="968"/>
      <c r="AC769" s="968"/>
      <c r="AD769" s="968"/>
      <c r="AE769" s="51"/>
      <c r="AF769" s="1241"/>
      <c r="AG769" s="1241"/>
      <c r="AH769" s="1241"/>
      <c r="AI769" s="1241"/>
      <c r="AJ769" s="1241"/>
      <c r="AK769" s="928"/>
      <c r="AL769" s="928"/>
      <c r="AM769" s="928"/>
      <c r="AN769" s="923"/>
      <c r="AP769" s="3137">
        <f>IF(((AP767+AP768)/AP765)&gt;0.8,0.8,((AP767+AP768)/AP765))</f>
        <v>0.55999999999999994</v>
      </c>
      <c r="AQ769" s="3137"/>
      <c r="AR769" s="3137"/>
    </row>
    <row r="770" spans="1:44" s="866" customFormat="1" ht="12.75" customHeight="1">
      <c r="A770" s="971"/>
      <c r="B770" s="3088" t="s">
        <v>1876</v>
      </c>
      <c r="C770" s="3089"/>
      <c r="D770" s="3089"/>
      <c r="E770" s="3089"/>
      <c r="F770" s="3089"/>
      <c r="G770" s="3089"/>
      <c r="H770" s="3089"/>
      <c r="I770" s="3089"/>
      <c r="J770" s="3089"/>
      <c r="K770" s="3089"/>
      <c r="L770" s="3089"/>
      <c r="M770" s="3089"/>
      <c r="N770" s="3089"/>
      <c r="O770" s="3089"/>
      <c r="P770" s="3089"/>
      <c r="Q770" s="3089"/>
      <c r="R770" s="3089"/>
      <c r="S770" s="3089"/>
      <c r="T770" s="3089"/>
      <c r="U770" s="3089"/>
      <c r="V770" s="3089"/>
      <c r="W770" s="3089"/>
      <c r="X770" s="3089"/>
      <c r="Y770" s="3089"/>
      <c r="Z770" s="3089"/>
      <c r="AA770" s="3089"/>
      <c r="AB770" s="3089"/>
      <c r="AC770" s="3089"/>
      <c r="AD770" s="3089"/>
      <c r="AE770" s="3089"/>
      <c r="AF770" s="3089"/>
      <c r="AG770" s="3089"/>
      <c r="AH770" s="3089"/>
      <c r="AI770" s="3089"/>
      <c r="AJ770" s="3090"/>
      <c r="AK770" s="928"/>
      <c r="AL770" s="928"/>
      <c r="AM770" s="928"/>
      <c r="AN770" s="923"/>
    </row>
    <row r="771" spans="1:44" s="866" customFormat="1" ht="12.75" customHeight="1">
      <c r="A771" s="971"/>
      <c r="B771" s="3091"/>
      <c r="C771" s="3092"/>
      <c r="D771" s="3092"/>
      <c r="E771" s="3092"/>
      <c r="F771" s="3092"/>
      <c r="G771" s="3092"/>
      <c r="H771" s="3092"/>
      <c r="I771" s="3092"/>
      <c r="J771" s="3092"/>
      <c r="K771" s="3092"/>
      <c r="L771" s="3092"/>
      <c r="M771" s="3092"/>
      <c r="N771" s="3092"/>
      <c r="O771" s="3092"/>
      <c r="P771" s="3092"/>
      <c r="Q771" s="3092"/>
      <c r="R771" s="3092"/>
      <c r="S771" s="3092"/>
      <c r="T771" s="3092"/>
      <c r="U771" s="3092"/>
      <c r="V771" s="3092"/>
      <c r="W771" s="3092"/>
      <c r="X771" s="3092"/>
      <c r="Y771" s="3092"/>
      <c r="Z771" s="3092"/>
      <c r="AA771" s="3092"/>
      <c r="AB771" s="3092"/>
      <c r="AC771" s="3092"/>
      <c r="AD771" s="3092"/>
      <c r="AE771" s="3092"/>
      <c r="AF771" s="3092"/>
      <c r="AG771" s="3092"/>
      <c r="AH771" s="3092"/>
      <c r="AI771" s="3092"/>
      <c r="AJ771" s="3093"/>
      <c r="AK771" s="928"/>
      <c r="AL771" s="928"/>
      <c r="AM771" s="928"/>
      <c r="AN771" s="923"/>
      <c r="AP771" s="3136">
        <f>AP772-AP767-AP768</f>
        <v>39594978</v>
      </c>
      <c r="AQ771" s="3138"/>
      <c r="AR771" s="3138"/>
    </row>
    <row r="772" spans="1:44" s="866" customFormat="1" ht="12.75" customHeight="1">
      <c r="A772" s="971"/>
      <c r="B772" s="3094"/>
      <c r="C772" s="3095"/>
      <c r="D772" s="3095"/>
      <c r="E772" s="3095"/>
      <c r="F772" s="3095"/>
      <c r="G772" s="3095"/>
      <c r="H772" s="3095"/>
      <c r="I772" s="3095"/>
      <c r="J772" s="3095"/>
      <c r="K772" s="3095"/>
      <c r="L772" s="3095"/>
      <c r="M772" s="3095"/>
      <c r="N772" s="3095"/>
      <c r="O772" s="3095"/>
      <c r="P772" s="3095"/>
      <c r="Q772" s="3095"/>
      <c r="R772" s="3095"/>
      <c r="S772" s="3095"/>
      <c r="T772" s="3095"/>
      <c r="U772" s="3095"/>
      <c r="V772" s="3095"/>
      <c r="W772" s="3095"/>
      <c r="X772" s="3095"/>
      <c r="Y772" s="3095"/>
      <c r="Z772" s="3095"/>
      <c r="AA772" s="3095"/>
      <c r="AB772" s="3095"/>
      <c r="AC772" s="3095"/>
      <c r="AD772" s="3095"/>
      <c r="AE772" s="3095"/>
      <c r="AF772" s="3095"/>
      <c r="AG772" s="3095"/>
      <c r="AH772" s="3095"/>
      <c r="AI772" s="3095"/>
      <c r="AJ772" s="3096"/>
      <c r="AK772" s="928"/>
      <c r="AL772" s="928"/>
      <c r="AM772" s="928"/>
      <c r="AN772" s="923"/>
      <c r="AP772" s="3136">
        <f>Application!AJ1032</f>
        <v>57164521.040000007</v>
      </c>
      <c r="AQ772" s="3136"/>
      <c r="AR772" s="3136"/>
    </row>
    <row r="773" spans="1:44" s="866" customFormat="1" ht="12.75" customHeight="1">
      <c r="A773" s="949"/>
      <c r="B773" s="867"/>
      <c r="C773" s="867"/>
      <c r="D773" s="867"/>
      <c r="E773" s="867"/>
      <c r="F773" s="867"/>
      <c r="G773" s="867"/>
      <c r="H773" s="867"/>
      <c r="I773" s="867"/>
      <c r="J773" s="867"/>
      <c r="K773" s="867"/>
      <c r="L773" s="867"/>
      <c r="M773" s="867"/>
      <c r="N773" s="867"/>
      <c r="O773" s="867"/>
      <c r="P773" s="867"/>
      <c r="Q773" s="867"/>
      <c r="R773" s="867"/>
      <c r="S773" s="867"/>
      <c r="T773" s="867"/>
      <c r="U773" s="867"/>
      <c r="V773" s="867"/>
      <c r="W773" s="867"/>
      <c r="X773" s="867"/>
      <c r="Y773" s="867"/>
      <c r="Z773" s="867"/>
      <c r="AA773" s="867"/>
      <c r="AB773" s="867"/>
      <c r="AC773" s="958"/>
      <c r="AD773" s="867"/>
      <c r="AE773" s="949"/>
      <c r="AF773" s="949"/>
      <c r="AG773" s="949"/>
      <c r="AH773" s="949"/>
      <c r="AI773" s="960"/>
      <c r="AJ773" s="960"/>
      <c r="AK773" s="928"/>
      <c r="AL773" s="928"/>
      <c r="AM773" s="928"/>
      <c r="AN773" s="923"/>
    </row>
    <row r="774" spans="1:44" s="866" customFormat="1" ht="12.75" customHeight="1">
      <c r="A774" s="975"/>
      <c r="B774" s="975"/>
      <c r="C774" s="975"/>
      <c r="D774" s="975"/>
      <c r="E774" s="975"/>
      <c r="F774" s="975"/>
      <c r="G774" s="975"/>
      <c r="H774" s="975"/>
      <c r="I774" s="975"/>
      <c r="J774" s="975"/>
      <c r="K774" s="975"/>
      <c r="L774" s="975"/>
      <c r="M774" s="975"/>
      <c r="N774" s="975"/>
      <c r="O774" s="975"/>
      <c r="P774" s="975"/>
      <c r="Q774" s="975"/>
      <c r="R774" s="975"/>
      <c r="S774" s="975"/>
      <c r="T774" s="975"/>
      <c r="U774" s="975"/>
      <c r="V774" s="975"/>
      <c r="W774" s="975"/>
      <c r="X774" s="975"/>
      <c r="Y774" s="975"/>
      <c r="Z774" s="975"/>
      <c r="AA774" s="975"/>
      <c r="AB774" s="975"/>
      <c r="AC774" s="975"/>
      <c r="AD774" s="975"/>
      <c r="AE774" s="975"/>
      <c r="AF774" s="975"/>
      <c r="AG774" s="975"/>
      <c r="AH774" s="976"/>
      <c r="AI774" s="882"/>
      <c r="AJ774" s="882" t="s">
        <v>1877</v>
      </c>
      <c r="AK774" s="3097">
        <f ca="1">IF(AF768=0,0,IF((AF768*100)&gt;12,12,(AF768*100)))</f>
        <v>12</v>
      </c>
      <c r="AL774" s="3097"/>
      <c r="AM774" s="3098"/>
      <c r="AN774" s="923"/>
      <c r="AP774" s="3143">
        <f>AP771+(AP765*AP769)</f>
        <v>57164521.039999999</v>
      </c>
      <c r="AQ774" s="3144"/>
      <c r="AR774" s="3145"/>
    </row>
    <row r="775" spans="1:44" s="866" customFormat="1" ht="12.75" customHeight="1">
      <c r="A775" s="949"/>
      <c r="B775" s="867"/>
      <c r="C775" s="867"/>
      <c r="D775" s="867"/>
      <c r="E775" s="867"/>
      <c r="F775" s="867"/>
      <c r="G775" s="867"/>
      <c r="H775" s="867"/>
      <c r="I775" s="867"/>
      <c r="J775" s="867"/>
      <c r="K775" s="867"/>
      <c r="L775" s="867"/>
      <c r="M775" s="867"/>
      <c r="N775" s="867"/>
      <c r="O775" s="867"/>
      <c r="P775" s="867"/>
      <c r="Q775" s="867"/>
      <c r="R775" s="867"/>
      <c r="S775" s="867"/>
      <c r="T775" s="867"/>
      <c r="U775" s="867"/>
      <c r="V775" s="867"/>
      <c r="W775" s="867"/>
      <c r="X775" s="867"/>
      <c r="Y775" s="867"/>
      <c r="Z775" s="867"/>
      <c r="AA775" s="867"/>
      <c r="AB775" s="867"/>
      <c r="AC775" s="958"/>
      <c r="AD775" s="867"/>
      <c r="AE775" s="949"/>
      <c r="AF775" s="949"/>
      <c r="AG775" s="949"/>
      <c r="AH775" s="949"/>
      <c r="AI775" s="960"/>
      <c r="AJ775" s="960"/>
      <c r="AK775" s="928"/>
      <c r="AL775" s="928"/>
      <c r="AM775" s="928"/>
      <c r="AN775" s="923"/>
    </row>
    <row r="776" spans="1:44">
      <c r="A776" s="985"/>
      <c r="B776" s="866"/>
      <c r="C776" s="866"/>
      <c r="D776" s="866"/>
      <c r="E776" s="866"/>
      <c r="F776" s="866"/>
      <c r="G776" s="866"/>
      <c r="H776" s="866"/>
      <c r="I776" s="866"/>
      <c r="J776" s="866"/>
      <c r="K776" s="866"/>
      <c r="L776" s="866"/>
      <c r="M776" s="866"/>
      <c r="N776" s="866"/>
      <c r="O776" s="866"/>
      <c r="P776" s="866"/>
      <c r="Q776" s="866"/>
      <c r="R776" s="866"/>
      <c r="S776" s="866"/>
      <c r="T776" s="866"/>
      <c r="U776" s="866"/>
      <c r="V776" s="866"/>
      <c r="W776" s="866"/>
      <c r="X776" s="866"/>
      <c r="Y776" s="866"/>
      <c r="Z776" s="866"/>
      <c r="AA776" s="866"/>
      <c r="AB776" s="866"/>
      <c r="AC776" s="866"/>
      <c r="AD776" s="866"/>
      <c r="AE776" s="866"/>
      <c r="AF776" s="866"/>
      <c r="AG776" s="866"/>
      <c r="AH776" s="866"/>
      <c r="AI776" s="866"/>
      <c r="AJ776" s="866"/>
      <c r="AK776" s="949"/>
      <c r="AL776" s="949"/>
      <c r="AM776" s="949"/>
    </row>
    <row r="777" spans="1:44">
      <c r="A777" s="3099" t="s">
        <v>1878</v>
      </c>
      <c r="B777" s="3100"/>
      <c r="C777" s="3100"/>
      <c r="D777" s="3100"/>
      <c r="E777" s="3100"/>
      <c r="F777" s="3100"/>
      <c r="G777" s="3100"/>
      <c r="H777" s="3100"/>
      <c r="I777" s="3100"/>
      <c r="J777" s="3100"/>
      <c r="K777" s="3100"/>
      <c r="L777" s="3100"/>
      <c r="M777" s="3100"/>
      <c r="N777" s="3100"/>
      <c r="O777" s="3100"/>
      <c r="P777" s="3100"/>
      <c r="Q777" s="3100"/>
      <c r="R777" s="3100"/>
      <c r="S777" s="3100"/>
      <c r="T777" s="3100"/>
      <c r="U777" s="3100"/>
      <c r="V777" s="3100"/>
      <c r="W777" s="3100"/>
      <c r="X777" s="3100"/>
      <c r="Y777" s="3100"/>
      <c r="Z777" s="3100"/>
      <c r="AA777" s="3100"/>
      <c r="AB777" s="3100"/>
      <c r="AC777" s="3100"/>
      <c r="AD777" s="3100"/>
      <c r="AE777" s="3100"/>
      <c r="AF777" s="3100"/>
      <c r="AG777" s="3100"/>
      <c r="AH777" s="3100"/>
      <c r="AI777" s="3100"/>
      <c r="AJ777" s="3100"/>
      <c r="AK777" s="3100"/>
      <c r="AL777" s="3100"/>
      <c r="AM777" s="3100"/>
    </row>
    <row r="778" spans="1:44">
      <c r="A778" s="3101"/>
      <c r="B778" s="3101"/>
      <c r="C778" s="3101"/>
      <c r="D778" s="3101"/>
      <c r="E778" s="3101"/>
      <c r="F778" s="3101"/>
      <c r="G778" s="3101"/>
      <c r="H778" s="3101"/>
      <c r="I778" s="3101"/>
      <c r="J778" s="3101"/>
      <c r="K778" s="3101"/>
      <c r="L778" s="3101"/>
      <c r="M778" s="3101"/>
      <c r="N778" s="3101"/>
      <c r="O778" s="3101"/>
      <c r="P778" s="3101"/>
      <c r="Q778" s="3101"/>
      <c r="R778" s="3101"/>
      <c r="S778" s="3101"/>
      <c r="T778" s="3101"/>
      <c r="U778" s="3101"/>
      <c r="V778" s="3101"/>
      <c r="W778" s="3101"/>
      <c r="X778" s="3101"/>
      <c r="Y778" s="3101"/>
      <c r="Z778" s="3101"/>
      <c r="AA778" s="3101"/>
      <c r="AB778" s="3101"/>
      <c r="AC778" s="3101"/>
      <c r="AD778" s="3101"/>
      <c r="AE778" s="3101"/>
      <c r="AF778" s="3101"/>
      <c r="AG778" s="3101"/>
      <c r="AH778" s="3101"/>
      <c r="AI778" s="3101"/>
      <c r="AJ778" s="3101"/>
      <c r="AK778" s="3101"/>
      <c r="AL778" s="3101"/>
      <c r="AM778" s="3101"/>
      <c r="AO778" s="1242"/>
      <c r="AP778" s="1242"/>
      <c r="AQ778" s="1242"/>
    </row>
    <row r="779" spans="1:44">
      <c r="A779" s="948"/>
      <c r="B779" s="888"/>
      <c r="C779" s="889"/>
      <c r="D779" s="889"/>
      <c r="E779" s="889"/>
      <c r="F779" s="889"/>
      <c r="G779" s="889"/>
      <c r="H779" s="889"/>
      <c r="I779" s="890"/>
      <c r="J779" s="890"/>
      <c r="K779" s="890"/>
      <c r="L779" s="890"/>
      <c r="M779" s="890"/>
      <c r="N779" s="890"/>
      <c r="O779" s="890"/>
      <c r="P779" s="890"/>
      <c r="Q779" s="890"/>
      <c r="R779" s="112"/>
      <c r="S779" s="1136"/>
      <c r="T779" s="1136"/>
      <c r="U779" s="1136"/>
      <c r="V779" s="1136"/>
      <c r="W779" s="1136"/>
      <c r="X779" s="1136"/>
      <c r="Y779" s="1136"/>
      <c r="Z779" s="1136"/>
      <c r="AA779" s="1136"/>
      <c r="AB779" s="1136"/>
      <c r="AC779" s="1136"/>
      <c r="AD779" s="1136"/>
      <c r="AE779" s="1136"/>
      <c r="AF779" s="112"/>
      <c r="AG779" s="1136"/>
      <c r="AH779" s="1136"/>
      <c r="AI779" s="1136"/>
      <c r="AJ779" s="1136"/>
      <c r="AK779" s="948"/>
      <c r="AL779" s="948"/>
      <c r="AM779" s="851"/>
      <c r="AO779" s="1242"/>
      <c r="AP779" s="1242"/>
      <c r="AQ779" s="1242"/>
    </row>
    <row r="780" spans="1:44">
      <c r="A780" s="3046"/>
      <c r="B780" s="3046"/>
      <c r="C780" s="3046"/>
      <c r="D780" s="3046"/>
      <c r="E780" s="3046"/>
      <c r="F780" s="3046"/>
      <c r="G780" s="3046"/>
      <c r="H780" s="3046"/>
      <c r="I780" s="3046"/>
      <c r="J780" s="3046"/>
      <c r="K780" s="3046"/>
      <c r="L780" s="3046"/>
      <c r="M780" s="3046"/>
      <c r="N780" s="3046"/>
      <c r="O780" s="3046"/>
      <c r="P780" s="3046"/>
      <c r="Q780" s="3046"/>
      <c r="R780" s="3046"/>
      <c r="S780" s="3046"/>
      <c r="T780" s="3046"/>
      <c r="U780" s="3046"/>
      <c r="V780" s="3046"/>
      <c r="W780" s="3046"/>
      <c r="X780" s="3046"/>
      <c r="Y780" s="3046"/>
      <c r="Z780" s="3046"/>
      <c r="AA780" s="3046"/>
      <c r="AB780" s="3046"/>
      <c r="AC780" s="3046"/>
      <c r="AD780" s="3046"/>
      <c r="AE780" s="3046"/>
      <c r="AF780" s="3046"/>
      <c r="AG780" s="3046"/>
      <c r="AH780" s="3046"/>
      <c r="AI780" s="3046"/>
      <c r="AJ780" s="3046"/>
      <c r="AK780" s="3046"/>
      <c r="AL780" s="3046"/>
      <c r="AM780" s="3046"/>
      <c r="AO780" s="1150"/>
      <c r="AP780" s="1243"/>
      <c r="AQ780" s="1242"/>
    </row>
    <row r="781" spans="1:44">
      <c r="A781" s="3046"/>
      <c r="B781" s="3046"/>
      <c r="C781" s="3046"/>
      <c r="D781" s="3046"/>
      <c r="E781" s="3046"/>
      <c r="F781" s="3046"/>
      <c r="G781" s="3046"/>
      <c r="H781" s="3046"/>
      <c r="I781" s="3046"/>
      <c r="J781" s="3046"/>
      <c r="K781" s="3046"/>
      <c r="L781" s="3046"/>
      <c r="M781" s="3046"/>
      <c r="N781" s="3046"/>
      <c r="O781" s="3046"/>
      <c r="P781" s="3046"/>
      <c r="Q781" s="3046"/>
      <c r="R781" s="3046"/>
      <c r="S781" s="3046"/>
      <c r="T781" s="3046"/>
      <c r="U781" s="3046"/>
      <c r="V781" s="3046"/>
      <c r="W781" s="3046"/>
      <c r="X781" s="3046"/>
      <c r="Y781" s="3046"/>
      <c r="Z781" s="3046"/>
      <c r="AA781" s="3046"/>
      <c r="AB781" s="3046"/>
      <c r="AC781" s="3046"/>
      <c r="AD781" s="3046"/>
      <c r="AE781" s="3046"/>
      <c r="AF781" s="3046"/>
      <c r="AG781" s="3046"/>
      <c r="AH781" s="3046"/>
      <c r="AI781" s="3046"/>
      <c r="AJ781" s="3046"/>
      <c r="AK781" s="3046"/>
      <c r="AL781" s="3046"/>
      <c r="AM781" s="3046"/>
      <c r="AO781" s="1243"/>
      <c r="AQ781" s="1242"/>
    </row>
    <row r="782" spans="1:44">
      <c r="A782" s="1244"/>
      <c r="B782" s="1033"/>
      <c r="C782" s="1033"/>
      <c r="D782" s="1033"/>
      <c r="E782" s="1033"/>
      <c r="F782" s="1033"/>
      <c r="G782" s="1033"/>
      <c r="H782" s="1033"/>
      <c r="I782" s="1033"/>
      <c r="J782" s="1033"/>
      <c r="K782" s="1033"/>
      <c r="L782" s="1033"/>
      <c r="M782" s="1033"/>
      <c r="N782" s="1033"/>
      <c r="O782" s="1033"/>
      <c r="P782" s="1033"/>
      <c r="Q782" s="1033"/>
      <c r="R782" s="1033"/>
      <c r="S782" s="1037"/>
      <c r="T782" s="3102" t="s">
        <v>1879</v>
      </c>
      <c r="U782" s="3103"/>
      <c r="V782" s="3103"/>
      <c r="W782" s="3103"/>
      <c r="X782" s="3103"/>
      <c r="Y782" s="3104"/>
      <c r="Z782" s="3102" t="s">
        <v>1880</v>
      </c>
      <c r="AA782" s="3103"/>
      <c r="AB782" s="3103"/>
      <c r="AC782" s="3103"/>
      <c r="AD782" s="3103"/>
      <c r="AE782" s="3104"/>
      <c r="AF782" s="3102" t="s">
        <v>1881</v>
      </c>
      <c r="AG782" s="3103"/>
      <c r="AH782" s="3103"/>
      <c r="AI782" s="3103"/>
      <c r="AJ782" s="3103"/>
      <c r="AK782" s="3104"/>
      <c r="AL782" s="1245"/>
      <c r="AM782" s="1139"/>
      <c r="AO782" s="1243"/>
      <c r="AP782" s="1242"/>
      <c r="AQ782" s="1242"/>
    </row>
    <row r="783" spans="1:44">
      <c r="A783" s="1246"/>
      <c r="B783" s="1073"/>
      <c r="C783" s="1073"/>
      <c r="D783" s="1073"/>
      <c r="E783" s="1073"/>
      <c r="F783" s="1073"/>
      <c r="G783" s="1073"/>
      <c r="H783" s="1073"/>
      <c r="I783" s="1073"/>
      <c r="J783" s="1073"/>
      <c r="K783" s="1073"/>
      <c r="L783" s="1073"/>
      <c r="M783" s="1073"/>
      <c r="N783" s="1073"/>
      <c r="O783" s="1073"/>
      <c r="P783" s="1073"/>
      <c r="Q783" s="1073"/>
      <c r="R783" s="1073"/>
      <c r="S783" s="1247"/>
      <c r="T783" s="3105"/>
      <c r="U783" s="3106"/>
      <c r="V783" s="3106"/>
      <c r="W783" s="3106"/>
      <c r="X783" s="3106"/>
      <c r="Y783" s="3107"/>
      <c r="Z783" s="3105"/>
      <c r="AA783" s="3106"/>
      <c r="AB783" s="3106"/>
      <c r="AC783" s="3106"/>
      <c r="AD783" s="3106"/>
      <c r="AE783" s="3107"/>
      <c r="AF783" s="3105"/>
      <c r="AG783" s="3106"/>
      <c r="AH783" s="3106"/>
      <c r="AI783" s="3106"/>
      <c r="AJ783" s="3106"/>
      <c r="AK783" s="3107"/>
      <c r="AL783" s="1245"/>
      <c r="AM783" s="1139"/>
      <c r="AO783" s="1243"/>
      <c r="AP783" s="1242"/>
      <c r="AQ783" s="1242"/>
    </row>
    <row r="784" spans="1:44">
      <c r="A784" s="1246" t="s">
        <v>802</v>
      </c>
      <c r="B784" s="3081" t="s">
        <v>1577</v>
      </c>
      <c r="C784" s="3081"/>
      <c r="D784" s="3081"/>
      <c r="E784" s="3081"/>
      <c r="F784" s="3081"/>
      <c r="G784" s="3081"/>
      <c r="H784" s="3081"/>
      <c r="I784" s="3081"/>
      <c r="J784" s="3081"/>
      <c r="K784" s="3081"/>
      <c r="L784" s="3081"/>
      <c r="M784" s="3081"/>
      <c r="N784" s="3081"/>
      <c r="O784" s="3081"/>
      <c r="P784" s="3081"/>
      <c r="Q784" s="3081"/>
      <c r="R784" s="3081"/>
      <c r="S784" s="3082"/>
      <c r="T784" s="3083">
        <f>AK51</f>
        <v>0</v>
      </c>
      <c r="U784" s="3084"/>
      <c r="V784" s="3084"/>
      <c r="W784" s="3084"/>
      <c r="X784" s="3084"/>
      <c r="Y784" s="3085"/>
      <c r="Z784" s="3086">
        <v>20</v>
      </c>
      <c r="AA784" s="3084"/>
      <c r="AB784" s="3084"/>
      <c r="AC784" s="3084"/>
      <c r="AD784" s="3084"/>
      <c r="AE784" s="3085"/>
      <c r="AF784" s="3087">
        <f>IF(T784&gt;Z784,Z784,T784)</f>
        <v>0</v>
      </c>
      <c r="AG784" s="3087"/>
      <c r="AH784" s="3087"/>
      <c r="AI784" s="3087"/>
      <c r="AJ784" s="3087"/>
      <c r="AK784" s="3087"/>
      <c r="AL784" s="1245"/>
      <c r="AM784" s="1139"/>
      <c r="AO784" s="1242"/>
      <c r="AP784" s="1242"/>
      <c r="AQ784" s="1242"/>
    </row>
    <row r="785" spans="1:81">
      <c r="A785" s="1246" t="s">
        <v>1847</v>
      </c>
      <c r="B785" s="3081" t="s">
        <v>1599</v>
      </c>
      <c r="C785" s="3081"/>
      <c r="D785" s="3081"/>
      <c r="E785" s="3081"/>
      <c r="F785" s="3081"/>
      <c r="G785" s="3081"/>
      <c r="H785" s="3081"/>
      <c r="I785" s="3081"/>
      <c r="J785" s="3081"/>
      <c r="K785" s="3081"/>
      <c r="L785" s="3081"/>
      <c r="M785" s="3081"/>
      <c r="N785" s="3081"/>
      <c r="O785" s="3081"/>
      <c r="P785" s="3081"/>
      <c r="Q785" s="3081"/>
      <c r="R785" s="3081"/>
      <c r="S785" s="3082"/>
      <c r="T785" s="3083">
        <f>AK72</f>
        <v>10</v>
      </c>
      <c r="U785" s="3084"/>
      <c r="V785" s="3084"/>
      <c r="W785" s="3084"/>
      <c r="X785" s="3084"/>
      <c r="Y785" s="3085"/>
      <c r="Z785" s="3086">
        <v>10</v>
      </c>
      <c r="AA785" s="3084"/>
      <c r="AB785" s="3084"/>
      <c r="AC785" s="3084"/>
      <c r="AD785" s="3084"/>
      <c r="AE785" s="3085"/>
      <c r="AF785" s="3087">
        <f>IF(T785&gt;Z785,Z785,T785)</f>
        <v>10</v>
      </c>
      <c r="AG785" s="3087"/>
      <c r="AH785" s="3087"/>
      <c r="AI785" s="3087"/>
      <c r="AJ785" s="3087"/>
      <c r="AK785" s="3087"/>
      <c r="AL785" s="1245"/>
      <c r="AM785" s="1139"/>
      <c r="AO785" s="1242"/>
      <c r="AP785" s="1242"/>
      <c r="AQ785" s="1242"/>
    </row>
    <row r="786" spans="1:81">
      <c r="A786" s="1246" t="s">
        <v>1856</v>
      </c>
      <c r="B786" s="3081" t="s">
        <v>1609</v>
      </c>
      <c r="C786" s="3081"/>
      <c r="D786" s="3081"/>
      <c r="E786" s="3081"/>
      <c r="F786" s="3081"/>
      <c r="G786" s="3081"/>
      <c r="H786" s="3081"/>
      <c r="I786" s="3081"/>
      <c r="J786" s="3081"/>
      <c r="K786" s="3081"/>
      <c r="L786" s="3081"/>
      <c r="M786" s="3081"/>
      <c r="N786" s="3081"/>
      <c r="O786" s="3081"/>
      <c r="P786" s="3081"/>
      <c r="Q786" s="3081"/>
      <c r="R786" s="3081"/>
      <c r="S786" s="3082"/>
      <c r="T786" s="3083">
        <f ca="1">AK97</f>
        <v>20</v>
      </c>
      <c r="U786" s="3084"/>
      <c r="V786" s="3084"/>
      <c r="W786" s="3084"/>
      <c r="X786" s="3084"/>
      <c r="Y786" s="3085"/>
      <c r="Z786" s="3086">
        <v>20</v>
      </c>
      <c r="AA786" s="3084"/>
      <c r="AB786" s="3084"/>
      <c r="AC786" s="3084"/>
      <c r="AD786" s="3084"/>
      <c r="AE786" s="3085"/>
      <c r="AF786" s="3087">
        <f ca="1">IF(T786&gt;Z786,Z786,T786)</f>
        <v>20</v>
      </c>
      <c r="AG786" s="3087"/>
      <c r="AH786" s="3087"/>
      <c r="AI786" s="3087"/>
      <c r="AJ786" s="3087"/>
      <c r="AK786" s="3087"/>
      <c r="AL786" s="1245"/>
      <c r="AM786" s="1139"/>
      <c r="AO786" s="1242"/>
      <c r="AP786" s="1242"/>
      <c r="AQ786" s="1242"/>
    </row>
    <row r="787" spans="1:81">
      <c r="A787" s="1246" t="s">
        <v>1882</v>
      </c>
      <c r="B787" s="3081" t="s">
        <v>1619</v>
      </c>
      <c r="C787" s="3081"/>
      <c r="D787" s="3081"/>
      <c r="E787" s="3081"/>
      <c r="F787" s="3081"/>
      <c r="G787" s="3081"/>
      <c r="H787" s="3081"/>
      <c r="I787" s="3081"/>
      <c r="J787" s="3081"/>
      <c r="K787" s="3081"/>
      <c r="L787" s="3081"/>
      <c r="M787" s="3081"/>
      <c r="N787" s="3081"/>
      <c r="O787" s="3081"/>
      <c r="P787" s="3081"/>
      <c r="Q787" s="3081"/>
      <c r="R787" s="3081"/>
      <c r="S787" s="3082"/>
      <c r="T787" s="3083">
        <f>AK131</f>
        <v>10</v>
      </c>
      <c r="U787" s="3084"/>
      <c r="V787" s="3084"/>
      <c r="W787" s="3084"/>
      <c r="X787" s="3084"/>
      <c r="Y787" s="3085"/>
      <c r="Z787" s="3086">
        <v>10</v>
      </c>
      <c r="AA787" s="3084"/>
      <c r="AB787" s="3084"/>
      <c r="AC787" s="3084"/>
      <c r="AD787" s="3084"/>
      <c r="AE787" s="3085"/>
      <c r="AF787" s="3087">
        <f>IF(T787&gt;Z787,Z787,T787)</f>
        <v>10</v>
      </c>
      <c r="AG787" s="3087"/>
      <c r="AH787" s="3087"/>
      <c r="AI787" s="3087"/>
      <c r="AJ787" s="3087"/>
      <c r="AK787" s="3087"/>
      <c r="AL787" s="1245"/>
      <c r="AM787" s="1139"/>
      <c r="AO787" s="1242"/>
      <c r="AP787" s="1242"/>
      <c r="AQ787" s="1242"/>
    </row>
    <row r="788" spans="1:81">
      <c r="A788" s="1248" t="s">
        <v>1883</v>
      </c>
      <c r="B788" s="3081" t="s">
        <v>1884</v>
      </c>
      <c r="C788" s="3081"/>
      <c r="D788" s="3081"/>
      <c r="E788" s="3081"/>
      <c r="F788" s="3081"/>
      <c r="G788" s="3081"/>
      <c r="H788" s="3081"/>
      <c r="I788" s="3081"/>
      <c r="J788" s="3081"/>
      <c r="K788" s="3081"/>
      <c r="L788" s="3081"/>
      <c r="M788" s="3081"/>
      <c r="N788" s="3081"/>
      <c r="O788" s="3081"/>
      <c r="P788" s="3081"/>
      <c r="Q788" s="3081"/>
      <c r="R788" s="3081"/>
      <c r="S788" s="3082"/>
      <c r="T788" s="3108">
        <f>SUM(T789:Y790)</f>
        <v>10</v>
      </c>
      <c r="U788" s="3108"/>
      <c r="V788" s="3108"/>
      <c r="W788" s="3108"/>
      <c r="X788" s="3108"/>
      <c r="Y788" s="3108"/>
      <c r="Z788" s="3087">
        <v>10</v>
      </c>
      <c r="AA788" s="3087"/>
      <c r="AB788" s="3087"/>
      <c r="AC788" s="3087"/>
      <c r="AD788" s="3087"/>
      <c r="AE788" s="3087"/>
      <c r="AF788" s="3087">
        <f>IF(T788&gt;Z788,Z788,T788)</f>
        <v>10</v>
      </c>
      <c r="AG788" s="3087"/>
      <c r="AH788" s="3087"/>
      <c r="AI788" s="3087"/>
      <c r="AJ788" s="3087"/>
      <c r="AK788" s="3087"/>
      <c r="AL788" s="1245"/>
      <c r="AM788" s="1139"/>
    </row>
    <row r="789" spans="1:81">
      <c r="A789" s="849"/>
      <c r="B789" s="932"/>
      <c r="C789" s="3109" t="s">
        <v>1885</v>
      </c>
      <c r="D789" s="3109"/>
      <c r="E789" s="3109"/>
      <c r="F789" s="3109"/>
      <c r="G789" s="3109"/>
      <c r="H789" s="3109"/>
      <c r="I789" s="3109"/>
      <c r="J789" s="3109"/>
      <c r="K789" s="3109"/>
      <c r="L789" s="3109"/>
      <c r="M789" s="3109"/>
      <c r="N789" s="3109"/>
      <c r="O789" s="3109"/>
      <c r="P789" s="3109"/>
      <c r="Q789" s="3109"/>
      <c r="R789" s="3109"/>
      <c r="S789" s="3110"/>
      <c r="T789" s="2969">
        <f>AJ149</f>
        <v>7</v>
      </c>
      <c r="U789" s="2969"/>
      <c r="V789" s="2969"/>
      <c r="W789" s="2969"/>
      <c r="X789" s="2969"/>
      <c r="Y789" s="2969"/>
      <c r="Z789" s="3111">
        <v>7</v>
      </c>
      <c r="AA789" s="3111"/>
      <c r="AB789" s="3111"/>
      <c r="AC789" s="3111"/>
      <c r="AD789" s="3111"/>
      <c r="AE789" s="3111"/>
      <c r="AF789" s="3112"/>
      <c r="AG789" s="3112"/>
      <c r="AH789" s="3112"/>
      <c r="AI789" s="3112"/>
      <c r="AJ789" s="3112"/>
      <c r="AK789" s="3112"/>
      <c r="AL789" s="1245"/>
      <c r="AM789" s="1139"/>
    </row>
    <row r="790" spans="1:81">
      <c r="A790" s="1249"/>
      <c r="B790" s="932"/>
      <c r="C790" s="3109" t="s">
        <v>1886</v>
      </c>
      <c r="D790" s="3109"/>
      <c r="E790" s="3109"/>
      <c r="F790" s="3109"/>
      <c r="G790" s="3109"/>
      <c r="H790" s="3109"/>
      <c r="I790" s="3109"/>
      <c r="J790" s="3109"/>
      <c r="K790" s="3109"/>
      <c r="L790" s="3109"/>
      <c r="M790" s="3109"/>
      <c r="N790" s="3109"/>
      <c r="O790" s="3109"/>
      <c r="P790" s="3109"/>
      <c r="Q790" s="3109"/>
      <c r="R790" s="3109"/>
      <c r="S790" s="3110"/>
      <c r="T790" s="2969">
        <f>AJ163</f>
        <v>3</v>
      </c>
      <c r="U790" s="2969"/>
      <c r="V790" s="2969"/>
      <c r="W790" s="2969"/>
      <c r="X790" s="2969"/>
      <c r="Y790" s="2969"/>
      <c r="Z790" s="3111">
        <v>3</v>
      </c>
      <c r="AA790" s="3111"/>
      <c r="AB790" s="3111"/>
      <c r="AC790" s="3111"/>
      <c r="AD790" s="3111"/>
      <c r="AE790" s="3111"/>
      <c r="AF790" s="3112"/>
      <c r="AG790" s="3112"/>
      <c r="AH790" s="3112"/>
      <c r="AI790" s="3112"/>
      <c r="AJ790" s="3112"/>
      <c r="AK790" s="3112"/>
      <c r="AL790" s="1245"/>
      <c r="AM790" s="1139"/>
      <c r="AO790" s="866"/>
    </row>
    <row r="791" spans="1:81">
      <c r="A791" s="1248" t="s">
        <v>1647</v>
      </c>
      <c r="B791" s="3081" t="s">
        <v>1887</v>
      </c>
      <c r="C791" s="3081"/>
      <c r="D791" s="3081"/>
      <c r="E791" s="3081"/>
      <c r="F791" s="3081"/>
      <c r="G791" s="3081"/>
      <c r="H791" s="3081"/>
      <c r="I791" s="3081"/>
      <c r="J791" s="3081"/>
      <c r="K791" s="3081"/>
      <c r="L791" s="3081"/>
      <c r="M791" s="3081"/>
      <c r="N791" s="3081"/>
      <c r="O791" s="3081"/>
      <c r="P791" s="3081"/>
      <c r="Q791" s="3081"/>
      <c r="R791" s="3081"/>
      <c r="S791" s="3082"/>
      <c r="T791" s="3108">
        <f>AK174</f>
        <v>10</v>
      </c>
      <c r="U791" s="3108"/>
      <c r="V791" s="3108"/>
      <c r="W791" s="3108"/>
      <c r="X791" s="3108"/>
      <c r="Y791" s="3108"/>
      <c r="Z791" s="3087">
        <v>10</v>
      </c>
      <c r="AA791" s="3087"/>
      <c r="AB791" s="3087"/>
      <c r="AC791" s="3087"/>
      <c r="AD791" s="3087"/>
      <c r="AE791" s="3087"/>
      <c r="AF791" s="3087">
        <f>IF(T791&gt;Z791,Z791,T791)</f>
        <v>10</v>
      </c>
      <c r="AG791" s="3087"/>
      <c r="AH791" s="3087"/>
      <c r="AI791" s="3087"/>
      <c r="AJ791" s="3087"/>
      <c r="AK791" s="3087"/>
      <c r="AL791" s="1245"/>
      <c r="AM791" s="1139"/>
    </row>
    <row r="792" spans="1:81">
      <c r="A792" s="1246" t="s">
        <v>1656</v>
      </c>
      <c r="B792" s="3081" t="s">
        <v>1657</v>
      </c>
      <c r="C792" s="3081"/>
      <c r="D792" s="3081"/>
      <c r="E792" s="3081"/>
      <c r="F792" s="3081"/>
      <c r="G792" s="3081"/>
      <c r="H792" s="3081"/>
      <c r="I792" s="3081"/>
      <c r="J792" s="3081"/>
      <c r="K792" s="3081"/>
      <c r="L792" s="3081"/>
      <c r="M792" s="3081"/>
      <c r="N792" s="3081"/>
      <c r="O792" s="3081"/>
      <c r="P792" s="3081"/>
      <c r="Q792" s="3081"/>
      <c r="R792" s="3081"/>
      <c r="S792" s="3082"/>
      <c r="T792" s="3108">
        <f ca="1">AK256</f>
        <v>8</v>
      </c>
      <c r="U792" s="3108"/>
      <c r="V792" s="3108"/>
      <c r="W792" s="3108"/>
      <c r="X792" s="3108"/>
      <c r="Y792" s="3108"/>
      <c r="Z792" s="3086">
        <v>8</v>
      </c>
      <c r="AA792" s="3084"/>
      <c r="AB792" s="3084"/>
      <c r="AC792" s="3084"/>
      <c r="AD792" s="3084"/>
      <c r="AE792" s="3085"/>
      <c r="AF792" s="3087">
        <f ca="1">IF(T792&gt;Z792,Z792,T792)</f>
        <v>8</v>
      </c>
      <c r="AG792" s="3087"/>
      <c r="AH792" s="3087"/>
      <c r="AI792" s="3087"/>
      <c r="AJ792" s="3087"/>
      <c r="AK792" s="3087"/>
      <c r="AL792" s="1245"/>
      <c r="AM792" s="1139"/>
    </row>
    <row r="793" spans="1:81" s="848" customFormat="1" hidden="1">
      <c r="A793" s="1248" t="s">
        <v>626</v>
      </c>
      <c r="B793" s="3081" t="s">
        <v>1888</v>
      </c>
      <c r="C793" s="3081"/>
      <c r="D793" s="3081"/>
      <c r="E793" s="3081"/>
      <c r="F793" s="3081"/>
      <c r="G793" s="3081"/>
      <c r="H793" s="3081"/>
      <c r="I793" s="3081"/>
      <c r="J793" s="3081"/>
      <c r="K793" s="3081"/>
      <c r="L793" s="3081"/>
      <c r="M793" s="3081"/>
      <c r="N793" s="3081"/>
      <c r="O793" s="3081"/>
      <c r="P793" s="3081"/>
      <c r="Q793" s="3081"/>
      <c r="R793" s="3081"/>
      <c r="S793" s="3082"/>
      <c r="T793" s="3108">
        <f>IF(AK750&gt;5,5,AK750)</f>
        <v>0</v>
      </c>
      <c r="U793" s="3108"/>
      <c r="V793" s="3108"/>
      <c r="W793" s="3108"/>
      <c r="X793" s="3108"/>
      <c r="Y793" s="3108"/>
      <c r="Z793" s="3087">
        <v>5</v>
      </c>
      <c r="AA793" s="3087"/>
      <c r="AB793" s="3087"/>
      <c r="AC793" s="3087"/>
      <c r="AD793" s="3087"/>
      <c r="AE793" s="3087"/>
      <c r="AF793" s="3087">
        <f>IF(T793&gt;Z793,5,T793)</f>
        <v>0</v>
      </c>
      <c r="AG793" s="3087"/>
      <c r="AH793" s="3087"/>
      <c r="AI793" s="3087"/>
      <c r="AJ793" s="3087"/>
      <c r="AK793" s="3087"/>
      <c r="AL793" s="1245"/>
      <c r="AM793" s="1139"/>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848" customFormat="1">
      <c r="A794" s="1246" t="s">
        <v>1662</v>
      </c>
      <c r="B794" s="3081" t="s">
        <v>1889</v>
      </c>
      <c r="C794" s="3081"/>
      <c r="D794" s="3081"/>
      <c r="E794" s="3081"/>
      <c r="F794" s="3081"/>
      <c r="G794" s="3081"/>
      <c r="H794" s="3081"/>
      <c r="I794" s="3081"/>
      <c r="J794" s="3081"/>
      <c r="K794" s="3081"/>
      <c r="L794" s="3081"/>
      <c r="M794" s="3081"/>
      <c r="N794" s="3081"/>
      <c r="O794" s="3081"/>
      <c r="P794" s="3081"/>
      <c r="Q794" s="3081"/>
      <c r="R794" s="3081"/>
      <c r="S794" s="3082"/>
      <c r="T794" s="3108">
        <f>AK267</f>
        <v>10</v>
      </c>
      <c r="U794" s="3108"/>
      <c r="V794" s="3108"/>
      <c r="W794" s="3108"/>
      <c r="X794" s="3108"/>
      <c r="Y794" s="3108"/>
      <c r="Z794" s="3087">
        <v>10</v>
      </c>
      <c r="AA794" s="3087"/>
      <c r="AB794" s="3087"/>
      <c r="AC794" s="3087"/>
      <c r="AD794" s="3087"/>
      <c r="AE794" s="3087"/>
      <c r="AF794" s="3115">
        <f>IF(T794&gt;Z794,Z794,T794)</f>
        <v>10</v>
      </c>
      <c r="AG794" s="3116"/>
      <c r="AH794" s="3116"/>
      <c r="AI794" s="3116"/>
      <c r="AJ794" s="3116"/>
      <c r="AK794" s="3117"/>
      <c r="AL794" s="1245"/>
      <c r="AM794" s="916"/>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848" customFormat="1">
      <c r="A795" s="1248" t="s">
        <v>1666</v>
      </c>
      <c r="B795" s="3081" t="s">
        <v>1667</v>
      </c>
      <c r="C795" s="3081"/>
      <c r="D795" s="3081"/>
      <c r="E795" s="3081"/>
      <c r="F795" s="3081"/>
      <c r="G795" s="3081"/>
      <c r="H795" s="3081"/>
      <c r="I795" s="3081"/>
      <c r="J795" s="3081"/>
      <c r="K795" s="3081"/>
      <c r="L795" s="3081"/>
      <c r="M795" s="3081"/>
      <c r="N795" s="3081"/>
      <c r="O795" s="3081"/>
      <c r="P795" s="3081"/>
      <c r="Q795" s="3081"/>
      <c r="R795" s="3081"/>
      <c r="S795" s="3082"/>
      <c r="T795" s="3108">
        <f>AK553</f>
        <v>19</v>
      </c>
      <c r="U795" s="3108"/>
      <c r="V795" s="3108"/>
      <c r="W795" s="3108"/>
      <c r="X795" s="3108"/>
      <c r="Y795" s="3108"/>
      <c r="Z795" s="3115">
        <v>20</v>
      </c>
      <c r="AA795" s="3116"/>
      <c r="AB795" s="3116"/>
      <c r="AC795" s="3116"/>
      <c r="AD795" s="3116"/>
      <c r="AE795" s="3117"/>
      <c r="AF795" s="3115">
        <f>IF(T795&gt;Z795,Z795,T795)</f>
        <v>19</v>
      </c>
      <c r="AG795" s="3130"/>
      <c r="AH795" s="3130"/>
      <c r="AI795" s="3130"/>
      <c r="AJ795" s="3130"/>
      <c r="AK795" s="3131"/>
      <c r="AL795" s="1250"/>
      <c r="AM795" s="916"/>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848" customFormat="1">
      <c r="A796" s="1248"/>
      <c r="B796" s="1251"/>
      <c r="C796" s="1252" t="s">
        <v>1890</v>
      </c>
      <c r="D796" s="1253"/>
      <c r="E796" s="1253"/>
      <c r="F796" s="1253"/>
      <c r="G796" s="1253"/>
      <c r="H796" s="1253"/>
      <c r="I796" s="1253"/>
      <c r="J796" s="1253"/>
      <c r="K796" s="1253"/>
      <c r="L796" s="1253"/>
      <c r="M796" s="1253"/>
      <c r="N796" s="1253"/>
      <c r="O796" s="1253"/>
      <c r="P796" s="1253"/>
      <c r="Q796" s="1253"/>
      <c r="R796" s="1251"/>
      <c r="S796" s="1254"/>
      <c r="T796" s="2969">
        <f>AK320</f>
        <v>9</v>
      </c>
      <c r="U796" s="2969"/>
      <c r="V796" s="2969"/>
      <c r="W796" s="2969"/>
      <c r="X796" s="2969"/>
      <c r="Y796" s="2969"/>
      <c r="Z796" s="2980">
        <v>20</v>
      </c>
      <c r="AA796" s="2981"/>
      <c r="AB796" s="2981"/>
      <c r="AC796" s="2981"/>
      <c r="AD796" s="2981"/>
      <c r="AE796" s="2982"/>
      <c r="AF796" s="3112"/>
      <c r="AG796" s="3112"/>
      <c r="AH796" s="3112"/>
      <c r="AI796" s="3112"/>
      <c r="AJ796" s="3112"/>
      <c r="AK796" s="3112"/>
      <c r="AL796" s="1250"/>
      <c r="AM796" s="916"/>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848" customFormat="1">
      <c r="A797" s="1248"/>
      <c r="B797" s="1251"/>
      <c r="C797" s="1252" t="s">
        <v>1891</v>
      </c>
      <c r="D797" s="1252"/>
      <c r="E797" s="1252"/>
      <c r="F797" s="1252"/>
      <c r="G797" s="1252"/>
      <c r="H797" s="1252"/>
      <c r="I797" s="1252"/>
      <c r="J797" s="1252"/>
      <c r="K797" s="1252"/>
      <c r="L797" s="1252"/>
      <c r="M797" s="1252"/>
      <c r="N797" s="1252"/>
      <c r="O797" s="1252"/>
      <c r="P797" s="1252"/>
      <c r="Q797" s="1252"/>
      <c r="R797" s="1251"/>
      <c r="S797" s="1254"/>
      <c r="T797" s="2969">
        <f>AK551</f>
        <v>10</v>
      </c>
      <c r="U797" s="2969"/>
      <c r="V797" s="2969"/>
      <c r="W797" s="2969"/>
      <c r="X797" s="2969"/>
      <c r="Y797" s="2969"/>
      <c r="Z797" s="2980">
        <v>10</v>
      </c>
      <c r="AA797" s="2981"/>
      <c r="AB797" s="2981"/>
      <c r="AC797" s="2981"/>
      <c r="AD797" s="2981"/>
      <c r="AE797" s="2982"/>
      <c r="AF797" s="3112"/>
      <c r="AG797" s="3112"/>
      <c r="AH797" s="3112"/>
      <c r="AI797" s="3112"/>
      <c r="AJ797" s="3112"/>
      <c r="AK797" s="3112"/>
      <c r="AL797" s="1250"/>
      <c r="AM797" s="916"/>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848" customFormat="1">
      <c r="A798" s="1248" t="s">
        <v>1752</v>
      </c>
      <c r="B798" s="3081" t="s">
        <v>912</v>
      </c>
      <c r="C798" s="3081"/>
      <c r="D798" s="3081"/>
      <c r="E798" s="3081"/>
      <c r="F798" s="3081"/>
      <c r="G798" s="3081"/>
      <c r="H798" s="3081"/>
      <c r="I798" s="3081"/>
      <c r="J798" s="3081"/>
      <c r="K798" s="3081"/>
      <c r="L798" s="3081"/>
      <c r="M798" s="3081"/>
      <c r="N798" s="3081"/>
      <c r="O798" s="3081"/>
      <c r="P798" s="3081"/>
      <c r="Q798" s="3081"/>
      <c r="R798" s="3081"/>
      <c r="S798" s="3082"/>
      <c r="T798" s="3108">
        <f>AK684</f>
        <v>12</v>
      </c>
      <c r="U798" s="3108"/>
      <c r="V798" s="3108"/>
      <c r="W798" s="3108"/>
      <c r="X798" s="3108"/>
      <c r="Y798" s="3108"/>
      <c r="Z798" s="3115">
        <v>10</v>
      </c>
      <c r="AA798" s="3116"/>
      <c r="AB798" s="3116"/>
      <c r="AC798" s="3116"/>
      <c r="AD798" s="3116"/>
      <c r="AE798" s="3117"/>
      <c r="AF798" s="3087">
        <f>IF(T798&gt;Z798,Z798,T798)</f>
        <v>10</v>
      </c>
      <c r="AG798" s="3087"/>
      <c r="AH798" s="3087"/>
      <c r="AI798" s="3087"/>
      <c r="AJ798" s="3087"/>
      <c r="AK798" s="3087"/>
      <c r="AL798" s="1250"/>
      <c r="AM798" s="91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848" customFormat="1">
      <c r="A799" s="1248" t="s">
        <v>1866</v>
      </c>
      <c r="B799" s="3081" t="s">
        <v>1867</v>
      </c>
      <c r="C799" s="3081"/>
      <c r="D799" s="3081"/>
      <c r="E799" s="3081"/>
      <c r="F799" s="3081"/>
      <c r="G799" s="3081"/>
      <c r="H799" s="3081"/>
      <c r="I799" s="3081"/>
      <c r="J799" s="3081"/>
      <c r="K799" s="3081"/>
      <c r="L799" s="3081"/>
      <c r="M799" s="3081"/>
      <c r="N799" s="3081"/>
      <c r="O799" s="3081"/>
      <c r="P799" s="3081"/>
      <c r="Q799" s="3081"/>
      <c r="R799" s="3081"/>
      <c r="S799" s="3082"/>
      <c r="T799" s="3108">
        <f ca="1">AK774</f>
        <v>12</v>
      </c>
      <c r="U799" s="3108"/>
      <c r="V799" s="3108"/>
      <c r="W799" s="3108"/>
      <c r="X799" s="3108"/>
      <c r="Y799" s="3108"/>
      <c r="Z799" s="3115">
        <v>12</v>
      </c>
      <c r="AA799" s="3116"/>
      <c r="AB799" s="3116"/>
      <c r="AC799" s="3116"/>
      <c r="AD799" s="3116"/>
      <c r="AE799" s="3117"/>
      <c r="AF799" s="3087">
        <f ca="1">IF(T799&gt;Z799,Z799,T799)</f>
        <v>12</v>
      </c>
      <c r="AG799" s="3087"/>
      <c r="AH799" s="3087"/>
      <c r="AI799" s="3087"/>
      <c r="AJ799" s="3087"/>
      <c r="AK799" s="3087"/>
      <c r="AL799" s="1250"/>
      <c r="AM799" s="916"/>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848" customFormat="1">
      <c r="A800" s="3113" t="s">
        <v>1892</v>
      </c>
      <c r="B800" s="3081"/>
      <c r="C800" s="3081"/>
      <c r="D800" s="3081"/>
      <c r="E800" s="3081"/>
      <c r="F800" s="3081"/>
      <c r="G800" s="3081"/>
      <c r="H800" s="3081"/>
      <c r="I800" s="3081"/>
      <c r="J800" s="3081"/>
      <c r="K800" s="3081"/>
      <c r="L800" s="3081"/>
      <c r="M800" s="3081"/>
      <c r="N800" s="3081"/>
      <c r="O800" s="3081"/>
      <c r="P800" s="3081"/>
      <c r="Q800" s="3081"/>
      <c r="R800" s="3081"/>
      <c r="S800" s="3082"/>
      <c r="T800" s="3114"/>
      <c r="U800" s="3114"/>
      <c r="V800" s="3114"/>
      <c r="W800" s="3114"/>
      <c r="X800" s="3114"/>
      <c r="Y800" s="3114"/>
      <c r="Z800" s="3111" t="s">
        <v>1893</v>
      </c>
      <c r="AA800" s="3111"/>
      <c r="AB800" s="3111"/>
      <c r="AC800" s="3111"/>
      <c r="AD800" s="3111"/>
      <c r="AE800" s="3111"/>
      <c r="AF800" s="3115">
        <f>IF(T800&gt;0,T800,0)</f>
        <v>0</v>
      </c>
      <c r="AG800" s="3116"/>
      <c r="AH800" s="3116"/>
      <c r="AI800" s="3116"/>
      <c r="AJ800" s="3116"/>
      <c r="AK800" s="3117"/>
      <c r="AL800" s="957"/>
      <c r="AM800" s="916"/>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848" customFormat="1" ht="15.75">
      <c r="A801" s="3118" t="s">
        <v>1894</v>
      </c>
      <c r="B801" s="3119"/>
      <c r="C801" s="3119"/>
      <c r="D801" s="3119"/>
      <c r="E801" s="3119"/>
      <c r="F801" s="3119"/>
      <c r="G801" s="3119"/>
      <c r="H801" s="3119"/>
      <c r="I801" s="3119"/>
      <c r="J801" s="3119"/>
      <c r="K801" s="3119"/>
      <c r="L801" s="3119"/>
      <c r="M801" s="3119"/>
      <c r="N801" s="3119"/>
      <c r="O801" s="3119"/>
      <c r="P801" s="3119"/>
      <c r="Q801" s="3119"/>
      <c r="R801" s="3119"/>
      <c r="S801" s="3119"/>
      <c r="T801" s="3119"/>
      <c r="U801" s="3119"/>
      <c r="V801" s="3119"/>
      <c r="W801" s="3119"/>
      <c r="X801" s="3119"/>
      <c r="Y801" s="3119"/>
      <c r="Z801" s="3119"/>
      <c r="AA801" s="3119"/>
      <c r="AB801" s="3119"/>
      <c r="AC801" s="3119"/>
      <c r="AD801" s="3119"/>
      <c r="AE801" s="3120"/>
      <c r="AF801" s="3124">
        <f ca="1">SUM(AF784:AK799)-AF800</f>
        <v>119</v>
      </c>
      <c r="AG801" s="3125"/>
      <c r="AH801" s="3125"/>
      <c r="AI801" s="3125"/>
      <c r="AJ801" s="3125"/>
      <c r="AK801" s="3126"/>
      <c r="AL801" s="1255"/>
      <c r="AM801" s="866"/>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848" customFormat="1" ht="15.75">
      <c r="A802" s="3121"/>
      <c r="B802" s="3122"/>
      <c r="C802" s="3122"/>
      <c r="D802" s="3122"/>
      <c r="E802" s="3122"/>
      <c r="F802" s="3122"/>
      <c r="G802" s="3122"/>
      <c r="H802" s="3122"/>
      <c r="I802" s="3122"/>
      <c r="J802" s="3122"/>
      <c r="K802" s="3122"/>
      <c r="L802" s="3122"/>
      <c r="M802" s="3122"/>
      <c r="N802" s="3122"/>
      <c r="O802" s="3122"/>
      <c r="P802" s="3122"/>
      <c r="Q802" s="3122"/>
      <c r="R802" s="3122"/>
      <c r="S802" s="3122"/>
      <c r="T802" s="3122"/>
      <c r="U802" s="3122"/>
      <c r="V802" s="3122"/>
      <c r="W802" s="3122"/>
      <c r="X802" s="3122"/>
      <c r="Y802" s="3122"/>
      <c r="Z802" s="3122"/>
      <c r="AA802" s="3122"/>
      <c r="AB802" s="3122"/>
      <c r="AC802" s="3122"/>
      <c r="AD802" s="3122"/>
      <c r="AE802" s="3123"/>
      <c r="AF802" s="3127"/>
      <c r="AG802" s="3128"/>
      <c r="AH802" s="3128"/>
      <c r="AI802" s="3128"/>
      <c r="AJ802" s="3128"/>
      <c r="AK802" s="3129"/>
      <c r="AL802" s="1255"/>
      <c r="AM802" s="866"/>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848" customFormat="1">
      <c r="A803" s="1029"/>
      <c r="B803" s="1029"/>
      <c r="C803" s="1029"/>
      <c r="D803" s="1029"/>
      <c r="E803" s="1029"/>
      <c r="F803" s="1029"/>
      <c r="G803" s="1029"/>
      <c r="H803" s="1029"/>
      <c r="I803" s="1029"/>
      <c r="J803" s="1029"/>
      <c r="K803" s="1029"/>
      <c r="L803" s="1029"/>
      <c r="M803" s="1029"/>
      <c r="N803" s="1029"/>
      <c r="O803" s="1029"/>
      <c r="P803" s="1029"/>
      <c r="Q803" s="1029"/>
      <c r="R803" s="1029"/>
      <c r="S803" s="1029"/>
      <c r="T803" s="1029"/>
      <c r="U803" s="1029"/>
      <c r="V803" s="1029"/>
      <c r="W803" s="1029"/>
      <c r="X803" s="1029"/>
      <c r="Y803" s="1029"/>
      <c r="Z803" s="1029"/>
      <c r="AA803" s="1029"/>
      <c r="AB803" s="1029"/>
      <c r="AC803" s="1029"/>
      <c r="AD803" s="1029"/>
      <c r="AE803" s="1029"/>
      <c r="AF803" s="1029"/>
      <c r="AG803" s="1029"/>
      <c r="AH803" s="1029"/>
      <c r="AI803" s="1029"/>
      <c r="AJ803" s="1029"/>
      <c r="AK803" s="1029"/>
      <c r="AL803" s="1029"/>
      <c r="AM803" s="1256"/>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ElcWX5nUldEDfzfm2fyS3yE+Oln2QgTlgxipc2G2UxfyzyYchnOmbcK8sESV/PDww6UPVGCLsD2igKMUgCtwFA==" saltValue="s7IfICPtGnETrSYxMI4zrg=="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E362:R362"/>
    <mergeCell ref="I375:AE375"/>
    <mergeCell ref="A315:B315"/>
    <mergeCell ref="C315:D315"/>
    <mergeCell ref="F315:AD317"/>
    <mergeCell ref="AK320:AM320"/>
    <mergeCell ref="AE323:AK323"/>
    <mergeCell ref="A292:B292"/>
    <mergeCell ref="C292:D292"/>
    <mergeCell ref="F295:AD296"/>
    <mergeCell ref="F298:AD302"/>
    <mergeCell ref="I306:AD309"/>
    <mergeCell ref="I311:AD313"/>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46:I446" xr:uid="{00000000-0002-0000-0800-00000C000000}">
      <formula1>$AO$393:$AO$401</formula1>
    </dataValidation>
    <dataValidation type="list" allowBlank="1" showInputMessage="1" showErrorMessage="1" sqref="H411:I411" xr:uid="{00000000-0002-0000-0800-00000D000000}">
      <formula1>$AO$347:$AO$348</formula1>
    </dataValidation>
    <dataValidation type="list" showInputMessage="1" showErrorMessage="1" sqref="B377:C377" xr:uid="{00000000-0002-0000-0800-00000E000000}">
      <formula1>$AP$335:$AP$336</formula1>
    </dataValidation>
    <dataValidation type="list" allowBlank="1" showInputMessage="1" showErrorMessage="1" sqref="AB143:AC143 AC155:AD155" xr:uid="{00000000-0002-0000-0800-00000F000000}">
      <formula1>"N/A,Yes,"</formula1>
    </dataValidation>
    <dataValidation type="list" allowBlank="1" showInputMessage="1" showErrorMessage="1" sqref="B146" xr:uid="{00000000-0002-0000-0800-000010000000}">
      <formula1>$AO$144:$AO$146</formula1>
    </dataValidation>
    <dataValidation type="list" allowBlank="1" showInputMessage="1" showErrorMessage="1" sqref="F718:Z718" xr:uid="{00000000-0002-0000-0800-000011000000}">
      <formula1>$AO$686:$AO$694</formula1>
    </dataValidation>
    <dataValidation type="list" allowBlank="1" showInputMessage="1" showErrorMessage="1" sqref="F723:H723" xr:uid="{00000000-0002-0000-0800-000012000000}">
      <formula1>$AO$696:$AO$698</formula1>
    </dataValidation>
    <dataValidation type="list" allowBlank="1" showInputMessage="1" showErrorMessage="1" sqref="F739" xr:uid="{00000000-0002-0000-0800-000013000000}">
      <formula1>$AO$709:$AO$712</formula1>
    </dataValidation>
    <dataValidation type="list" allowBlank="1" showInputMessage="1" showErrorMessage="1" sqref="H547:I547" xr:uid="{00000000-0002-0000-0800-000014000000}">
      <formula1>$AO$541:$AO$542</formula1>
    </dataValidation>
    <dataValidation type="list" allowBlank="1" showInputMessage="1" showErrorMessage="1" sqref="B207:G216" xr:uid="{00000000-0002-0000-0800-000015000000}">
      <formula1>"(select),SRO/Studio,1 bedroom,2 bedroom,3 bedroom,4 bedroom,5 bedroom"</formula1>
    </dataValidation>
    <dataValidation type="list" allowBlank="1" showInputMessage="1" showErrorMessage="1" sqref="I311:AD313" xr:uid="{00000000-0002-0000-0800-000016000000}">
      <formula1>$AP$312:$AP$314</formula1>
    </dataValidation>
    <dataValidation type="list" allowBlank="1" showInputMessage="1" showErrorMessage="1" sqref="I306" xr:uid="{00000000-0002-0000-0800-000017000000}">
      <formula1>$AP$305:$AP$309</formula1>
    </dataValidation>
    <dataValidation type="list" allowBlank="1" showInputMessage="1" showErrorMessage="1" sqref="E362:R362" xr:uid="{00000000-0002-0000-0800-000018000000}">
      <formula1>"(select),Dial-a-ride service,Project-operated van service"</formula1>
    </dataValidation>
    <dataValidation type="list" allowBlank="1" showInputMessage="1" showErrorMessage="1" sqref="C157:AD157" xr:uid="{00000000-0002-0000-0800-000019000000}">
      <formula1>$AO$160:$AO$162</formula1>
    </dataValidation>
    <dataValidation type="list" allowBlank="1" showInputMessage="1" showErrorMessage="1" sqref="C153:AI153" xr:uid="{00000000-0002-0000-0800-00001A000000}">
      <formula1>$AO$153:$AO$156</formula1>
    </dataValidation>
    <dataValidation type="list" allowBlank="1" showInputMessage="1" showErrorMessage="1" sqref="C154:AD154" xr:uid="{00000000-0002-0000-0800-00001B000000}">
      <formula1>$AO$153:$AO$158</formula1>
    </dataValidation>
    <dataValidation type="list" allowBlank="1" showInputMessage="1" showErrorMessage="1" sqref="H536:I536" xr:uid="{00000000-0002-0000-0800-00001C000000}">
      <formula1>$AP$477:$AP$479</formula1>
    </dataValidation>
    <dataValidation type="list" allowBlank="1" showInputMessage="1" showErrorMessage="1" sqref="H367:I373" xr:uid="{00000000-0002-0000-0800-00001D000000}">
      <formula1>$AO$347:$AO$352</formula1>
    </dataValidation>
    <dataValidation type="list" allowBlank="1" showInputMessage="1" showErrorMessage="1" sqref="I375" xr:uid="{00000000-0002-0000-0800-00001E000000}">
      <formula1>$AO$374:$AO$376</formula1>
    </dataValidation>
    <dataValidation type="list" allowBlank="1" showInputMessage="1" showErrorMessage="1" sqref="F298:AD302" xr:uid="{00000000-0002-0000-0800-00001F000000}">
      <formula1>$AP$293:$AP$296</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Charla Claessen</cp:lastModifiedBy>
  <cp:lastPrinted>2021-02-01T05:09:09Z</cp:lastPrinted>
  <dcterms:created xsi:type="dcterms:W3CDTF">2007-12-27T18:26:28Z</dcterms:created>
  <dcterms:modified xsi:type="dcterms:W3CDTF">2021-02-01T20:56:45Z</dcterms:modified>
</cp:coreProperties>
</file>